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eisaihhc-my.sharepoint.com/personal/jspidel_morphotek_com/Documents/Other/Jared/Recipes/Templates/"/>
    </mc:Choice>
  </mc:AlternateContent>
  <xr:revisionPtr revIDLastSave="0" documentId="8_{93845739-B31C-4CE2-901F-FDF1D3CF2647}" xr6:coauthVersionLast="47" xr6:coauthVersionMax="47" xr10:uidLastSave="{00000000-0000-0000-0000-000000000000}"/>
  <bookViews>
    <workbookView xWindow="-120" yWindow="-120" windowWidth="29040" windowHeight="17790" tabRatio="714" xr2:uid="{00000000-000D-0000-FFFF-FFFF00000000}"/>
  </bookViews>
  <sheets>
    <sheet name="Recipe" sheetId="1" r:id="rId1"/>
    <sheet name="Brewday Datasheet" sheetId="19" r:id="rId2"/>
    <sheet name="Convert Units" sheetId="21" r:id="rId3"/>
    <sheet name="Scale-up" sheetId="23" r:id="rId4"/>
    <sheet name="Grains" sheetId="20" state="hidden" r:id="rId5"/>
    <sheet name="Extracts-Adjuncts" sheetId="4" state="hidden" r:id="rId6"/>
    <sheet name="Fermentables" sheetId="24" state="hidden" r:id="rId7"/>
    <sheet name="Yeast" sheetId="10" state="hidden" r:id="rId8"/>
    <sheet name="Styles" sheetId="6" state="hidden" r:id="rId9"/>
  </sheets>
  <definedNames>
    <definedName name="Acid">Grains!$B$555:$B$558</definedName>
    <definedName name="Adjunct">'Extracts-Adjuncts'!$B$2:$B$31</definedName>
    <definedName name="BeerTemp" localSheetId="2">'Convert Units'!$X$47</definedName>
    <definedName name="BeerTemp" localSheetId="0">Recipe!$X$47</definedName>
    <definedName name="BeerTemp" localSheetId="3">'Scale-up'!$X$47</definedName>
    <definedName name="BeerVol" localSheetId="1">'Brewday Datasheet'!$O$19</definedName>
    <definedName name="BeerVol" localSheetId="2">'Convert Units'!$U$47</definedName>
    <definedName name="BeerVol" localSheetId="0">Recipe!$U$47</definedName>
    <definedName name="BeerVol" localSheetId="3">'Scale-up'!$U$47</definedName>
    <definedName name="BeerVolUnits" localSheetId="2">'Convert Units'!$S$47</definedName>
    <definedName name="BeerVolUnits" localSheetId="0">Recipe!$S$47</definedName>
    <definedName name="BeerVolUnits" localSheetId="3">'Scale-up'!$S$47</definedName>
    <definedName name="BoilTime" localSheetId="1">'Brewday Datasheet'!$C$24</definedName>
    <definedName name="BoilTime" localSheetId="2">'Convert Units'!$S$34</definedName>
    <definedName name="BoilTime" localSheetId="0">Recipe!$S$34</definedName>
    <definedName name="BoilTime" localSheetId="3">'Scale-up'!$S$34</definedName>
    <definedName name="BrewingEfficiency" localSheetId="1">'Brewday Datasheet'!$L$19</definedName>
    <definedName name="Caramel">Grains!$B$262:$B$405</definedName>
    <definedName name="ColorFormula" localSheetId="2">'Convert Units'!$M$6</definedName>
    <definedName name="ColorFormula" localSheetId="0">Recipe!$M$6</definedName>
    <definedName name="ColorFormula" localSheetId="3">'Scale-up'!$M$6</definedName>
    <definedName name="ColorUnits" localSheetId="2">'Convert Units'!$F$5</definedName>
    <definedName name="ColorUnits" localSheetId="0">Recipe!$F$5</definedName>
    <definedName name="ColorUnits" localSheetId="3">'Scale-up'!$F$5</definedName>
    <definedName name="ConvertedVolume" localSheetId="2">'Convert Units'!$K$5</definedName>
    <definedName name="ConvertedVolume" localSheetId="3">'Scale-up'!$K$5</definedName>
    <definedName name="Dextrin">Grains!$B$542:$B$552</definedName>
    <definedName name="Efficiency" localSheetId="1">'Brewday Datasheet'!$L$19</definedName>
    <definedName name="Efficiency" localSheetId="2">'Convert Units'!$K$7</definedName>
    <definedName name="Efficiency" localSheetId="0">Recipe!$K$7</definedName>
    <definedName name="Efficiency" localSheetId="3">'Scale-up'!$K$7</definedName>
    <definedName name="_xlnm.Extract">'Extracts-Adjuncts'!$B$33:$B$50</definedName>
    <definedName name="Flaked">Grains!$B$561:$B$588</definedName>
    <definedName name="Grain_absorption" localSheetId="2">'Convert Units'!$I$31</definedName>
    <definedName name="Grain_absorption" localSheetId="0">Recipe!$I$31</definedName>
    <definedName name="Grain_absorption" localSheetId="3">'Scale-up'!$I$31</definedName>
    <definedName name="Grain_Temp" localSheetId="2">'Convert Units'!$I$33</definedName>
    <definedName name="Grain_Temp" localSheetId="0">Recipe!$I$33</definedName>
    <definedName name="Grain_Temp" localSheetId="3">'Scale-up'!$I$33</definedName>
    <definedName name="HopCalc" localSheetId="2">'Convert Units'!$M$7</definedName>
    <definedName name="HopCalc" localSheetId="0">Recipe!$M$7</definedName>
    <definedName name="HopCalc" localSheetId="3">'Scale-up'!$R$27</definedName>
    <definedName name="HopUnits" localSheetId="1">'Brewday Datasheet'!$Q$30</definedName>
    <definedName name="HopUnits" localSheetId="2">'Convert Units'!$V$10</definedName>
    <definedName name="HopUnits" localSheetId="0">Recipe!$V$10</definedName>
    <definedName name="HopUnits" localSheetId="3">'Scale-up'!$V$10</definedName>
    <definedName name="Mass" localSheetId="2">'Convert Units'!$C$27</definedName>
    <definedName name="Mass" localSheetId="0">Recipe!$C$27</definedName>
    <definedName name="Mass" localSheetId="3">'Scale-up'!$C$27</definedName>
    <definedName name="Munich">Grains!$B$158:$B$194</definedName>
    <definedName name="NewVol" localSheetId="3">'Scale-up'!$K$5</definedName>
    <definedName name="NonBarley">Grains!$B$197:$B$259</definedName>
    <definedName name="OriginalGravity" localSheetId="1">'Brewday Datasheet'!$H$19</definedName>
    <definedName name="OriginalGravity" localSheetId="2">'Convert Units'!$C$6</definedName>
    <definedName name="OriginalGravity" localSheetId="0">Recipe!$C$6</definedName>
    <definedName name="OriginalGravity" localSheetId="3">'Scale-up'!$C$6</definedName>
    <definedName name="Pale">Grains!$B$2:$B$135</definedName>
    <definedName name="PrimingUnits" localSheetId="2">'Convert Units'!$Q$48</definedName>
    <definedName name="PrimingUnits" localSheetId="0">Recipe!$Q$48</definedName>
    <definedName name="PrimingUnits" localSheetId="3">'Scale-up'!$Q$48</definedName>
    <definedName name="Roasted">Grains!$B$454:$B$539</definedName>
    <definedName name="ServingTemp" localSheetId="2">'Convert Units'!$U$49</definedName>
    <definedName name="ServingTemp" localSheetId="0">Recipe!$U$49</definedName>
    <definedName name="ServingTemp" localSheetId="3">'Scale-up'!$U$49</definedName>
    <definedName name="ServingUnits" localSheetId="2">'Convert Units'!$S$49</definedName>
    <definedName name="ServingUnits" localSheetId="0">Recipe!$S$49</definedName>
    <definedName name="ServingUnits" localSheetId="3">'Scale-up'!$S$49</definedName>
    <definedName name="Smoked">Grains!$B$591:$B$604</definedName>
    <definedName name="Styles">Styles!$B$3:$B$165</definedName>
    <definedName name="Sugar" localSheetId="2">'Convert Units'!$U$48</definedName>
    <definedName name="Sugar" localSheetId="0">Recipe!$U$48</definedName>
    <definedName name="Sugar" localSheetId="3">'Scale-up'!$U$48</definedName>
    <definedName name="TempUnits" localSheetId="2">'Convert Units'!$V$47</definedName>
    <definedName name="TempUnits" localSheetId="0">Recipe!$V$47</definedName>
    <definedName name="TempUnits" localSheetId="3">'Scale-up'!$V$47</definedName>
    <definedName name="Toasted">Grains!$B$408:$B$451</definedName>
    <definedName name="TotalFermentables" localSheetId="1">'Brewday Datasheet'!$H$47</definedName>
    <definedName name="TotalFermentables" localSheetId="2">'Convert Units'!$K$27</definedName>
    <definedName name="TotalFermentables" localSheetId="0">Recipe!$K$27</definedName>
    <definedName name="TotalFermentables" localSheetId="3">'Scale-up'!$K$27</definedName>
    <definedName name="Units" localSheetId="2">'Convert Units'!$M$5</definedName>
    <definedName name="Units" localSheetId="6">Fermentables!$M$2</definedName>
    <definedName name="Units" localSheetId="0">Recipe!$M$5</definedName>
    <definedName name="Units" localSheetId="3">'Scale-up'!$M$5</definedName>
    <definedName name="Vienna">Grains!$B$138:$B$155</definedName>
    <definedName name="VolCO2" localSheetId="2">'Convert Units'!$R$47</definedName>
    <definedName name="VolCO2" localSheetId="0">Recipe!$R$47</definedName>
    <definedName name="VolCO2" localSheetId="3">'Scale-up'!$R$47</definedName>
    <definedName name="Volume" localSheetId="1">'Brewday Datasheet'!$O$19</definedName>
    <definedName name="Volume" localSheetId="2">'Convert Units'!$K$5</definedName>
    <definedName name="Volume" localSheetId="0">Recipe!$K$5</definedName>
    <definedName name="Volume" localSheetId="3">'Scale-up'!$K$5</definedName>
    <definedName name="VolUnits" localSheetId="2">'Convert Units'!$S$47</definedName>
    <definedName name="VolUnits" localSheetId="0">Recipe!$S$47</definedName>
    <definedName name="VolUnits" localSheetId="3">'Scale-up'!$S$47</definedName>
    <definedName name="Yeast">Yeast!$B$2:$B$411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5" i="1" l="1"/>
  <c r="T7" i="1"/>
  <c r="T6" i="1"/>
  <c r="T5" i="1"/>
  <c r="R7" i="1"/>
  <c r="R6" i="1"/>
  <c r="R5" i="1"/>
  <c r="V40" i="23"/>
  <c r="T40" i="23"/>
  <c r="T40" i="21"/>
  <c r="M11" i="19"/>
  <c r="K11" i="19"/>
  <c r="V40" i="21" l="1"/>
  <c r="H11" i="19"/>
  <c r="E31" i="1"/>
  <c r="E411" i="10"/>
  <c r="E410" i="10"/>
  <c r="E408" i="10"/>
  <c r="E406" i="10"/>
  <c r="E404" i="10"/>
  <c r="E403" i="10"/>
  <c r="E402" i="10"/>
  <c r="E401" i="10"/>
  <c r="E400" i="10"/>
  <c r="E399" i="10"/>
  <c r="E398" i="10"/>
  <c r="E397" i="10"/>
  <c r="E396" i="10"/>
  <c r="E395" i="10"/>
  <c r="E394" i="10"/>
  <c r="E393" i="10"/>
  <c r="E392" i="10"/>
  <c r="E391" i="10"/>
  <c r="E390" i="10"/>
  <c r="E389" i="10"/>
  <c r="E388" i="10"/>
  <c r="E387" i="10"/>
  <c r="E386" i="10"/>
  <c r="E385" i="10"/>
  <c r="E384" i="10"/>
  <c r="E383" i="10"/>
  <c r="E382" i="10"/>
  <c r="E381" i="10"/>
  <c r="E380" i="10"/>
  <c r="E379" i="10"/>
  <c r="E378" i="10"/>
  <c r="E377" i="10"/>
  <c r="E376" i="10"/>
  <c r="E375" i="10"/>
  <c r="E374" i="10"/>
  <c r="E373" i="10"/>
  <c r="E372" i="10"/>
  <c r="E371" i="10"/>
  <c r="E370" i="10"/>
  <c r="E369" i="10"/>
  <c r="E368" i="10"/>
  <c r="E367" i="10"/>
  <c r="E366" i="10"/>
  <c r="E365" i="10"/>
  <c r="E362" i="10"/>
  <c r="E361" i="10"/>
  <c r="E360" i="10"/>
  <c r="E359" i="10"/>
  <c r="E358" i="10"/>
  <c r="E357" i="10"/>
  <c r="E356" i="10"/>
  <c r="E355" i="10"/>
  <c r="E354" i="10"/>
  <c r="E353" i="10"/>
  <c r="E350" i="10"/>
  <c r="E349" i="10"/>
  <c r="E348" i="10"/>
  <c r="E347" i="10"/>
  <c r="E346" i="10"/>
  <c r="E345" i="10"/>
  <c r="E344" i="10"/>
  <c r="E343" i="10"/>
  <c r="E342" i="10"/>
  <c r="E341" i="10"/>
  <c r="E340" i="10"/>
  <c r="E339" i="10"/>
  <c r="E338" i="10"/>
  <c r="E337" i="10"/>
  <c r="E336" i="10"/>
  <c r="E335" i="10"/>
  <c r="E334" i="10"/>
  <c r="E333" i="10"/>
  <c r="E332" i="10"/>
  <c r="E331" i="10"/>
  <c r="E330" i="10"/>
  <c r="E329" i="10"/>
  <c r="E328" i="10"/>
  <c r="E327" i="10"/>
  <c r="E326" i="10"/>
  <c r="E325" i="10"/>
  <c r="E324" i="10"/>
  <c r="E323" i="10"/>
  <c r="E322" i="10"/>
  <c r="E321" i="10"/>
  <c r="E320" i="10"/>
  <c r="E319" i="10"/>
  <c r="E318" i="10"/>
  <c r="E317" i="10"/>
  <c r="E316" i="10"/>
  <c r="E315" i="10"/>
  <c r="E314" i="10"/>
  <c r="E313" i="10"/>
  <c r="E312" i="10"/>
  <c r="E311" i="10"/>
  <c r="E310" i="10"/>
  <c r="E309" i="10"/>
  <c r="E308" i="10"/>
  <c r="E307" i="10"/>
  <c r="E306" i="10"/>
  <c r="E305" i="10"/>
  <c r="E304" i="10"/>
  <c r="E303" i="10"/>
  <c r="E299" i="10"/>
  <c r="E298" i="10"/>
  <c r="E297" i="10"/>
  <c r="E296" i="10"/>
  <c r="E295" i="10"/>
  <c r="E294" i="10"/>
  <c r="E293" i="10"/>
  <c r="E292" i="10"/>
  <c r="E291" i="10"/>
  <c r="E290" i="10"/>
  <c r="E289" i="10"/>
  <c r="E288" i="10"/>
  <c r="E287" i="10"/>
  <c r="E286" i="10"/>
  <c r="E285" i="10"/>
  <c r="E284" i="10"/>
  <c r="E283" i="10"/>
  <c r="E282" i="10"/>
  <c r="E281" i="10"/>
  <c r="E280" i="10"/>
  <c r="E279" i="10"/>
  <c r="E278" i="10"/>
  <c r="E277" i="10"/>
  <c r="E276" i="10"/>
  <c r="E275" i="10"/>
  <c r="E274" i="10"/>
  <c r="E273" i="10"/>
  <c r="E272" i="10"/>
  <c r="E271" i="10"/>
  <c r="E270" i="10"/>
  <c r="E269" i="10"/>
  <c r="E268" i="10"/>
  <c r="E267" i="10"/>
  <c r="E266" i="10"/>
  <c r="E265" i="10"/>
  <c r="E264" i="10"/>
  <c r="E263" i="10"/>
  <c r="E262" i="10"/>
  <c r="E258" i="10"/>
  <c r="E257" i="10"/>
  <c r="E256" i="10"/>
  <c r="E255" i="10"/>
  <c r="E254" i="10"/>
  <c r="E253" i="10"/>
  <c r="E252" i="10"/>
  <c r="E251" i="10"/>
  <c r="E250" i="10"/>
  <c r="E249" i="10"/>
  <c r="E248" i="10"/>
  <c r="E247" i="10"/>
  <c r="E246" i="10"/>
  <c r="E245" i="10"/>
  <c r="E244" i="10"/>
  <c r="E243" i="10"/>
  <c r="E242" i="10"/>
  <c r="E241" i="10"/>
  <c r="E240" i="10"/>
  <c r="E239" i="10"/>
  <c r="E238" i="10"/>
  <c r="E237" i="10"/>
  <c r="E236" i="10"/>
  <c r="E235" i="10"/>
  <c r="E234" i="10"/>
  <c r="E233" i="10"/>
  <c r="E232" i="10"/>
  <c r="E231" i="10"/>
  <c r="E230" i="10"/>
  <c r="E229" i="10"/>
  <c r="E228" i="10"/>
  <c r="E227" i="10"/>
  <c r="E226" i="10"/>
  <c r="E225" i="10"/>
  <c r="E189" i="10"/>
  <c r="E188" i="10"/>
  <c r="E187" i="10"/>
  <c r="E186" i="10"/>
  <c r="E185" i="10"/>
  <c r="E184" i="10"/>
  <c r="E183" i="10"/>
  <c r="E182" i="10"/>
  <c r="E181" i="10"/>
  <c r="E180" i="10"/>
  <c r="E179" i="10"/>
  <c r="E178" i="10"/>
  <c r="E177" i="10"/>
  <c r="E176" i="10"/>
  <c r="E175" i="10"/>
  <c r="E174" i="10"/>
  <c r="E173" i="10"/>
  <c r="E172" i="10"/>
  <c r="E168" i="10"/>
  <c r="E167" i="10"/>
  <c r="E165" i="10"/>
  <c r="E164" i="10"/>
  <c r="E162" i="10"/>
  <c r="E161" i="10"/>
  <c r="E160" i="10"/>
  <c r="E159" i="10"/>
  <c r="E158" i="10"/>
  <c r="E157" i="10"/>
  <c r="E156" i="10"/>
  <c r="E155" i="10"/>
  <c r="E154" i="10"/>
  <c r="E153" i="10"/>
  <c r="E151" i="10"/>
  <c r="E150" i="10"/>
  <c r="E149" i="10"/>
  <c r="E148" i="10"/>
  <c r="E147" i="10"/>
  <c r="E146" i="10"/>
  <c r="E145" i="10"/>
  <c r="E144" i="10"/>
  <c r="E143" i="10"/>
  <c r="E142" i="10"/>
  <c r="E141" i="10"/>
  <c r="E140" i="10"/>
  <c r="E139" i="10"/>
  <c r="E138" i="10"/>
  <c r="E137" i="10"/>
  <c r="E136" i="10"/>
  <c r="E135" i="10"/>
  <c r="E134" i="10"/>
  <c r="E133" i="10"/>
  <c r="E132" i="10"/>
  <c r="E131" i="10"/>
  <c r="E130" i="10"/>
  <c r="E129" i="10"/>
  <c r="E128" i="10"/>
  <c r="E127" i="10"/>
  <c r="E126" i="10"/>
  <c r="E125" i="10"/>
  <c r="E124" i="10"/>
  <c r="E123" i="10"/>
  <c r="E122" i="10"/>
  <c r="E121" i="10"/>
  <c r="E120" i="10"/>
  <c r="E119" i="10"/>
  <c r="E118" i="10"/>
  <c r="E117" i="10"/>
  <c r="E116" i="10"/>
  <c r="E115" i="10"/>
  <c r="E114" i="10"/>
  <c r="E113" i="10"/>
  <c r="E112" i="10"/>
  <c r="E111" i="10"/>
  <c r="E110" i="10"/>
  <c r="E109" i="10"/>
  <c r="E108" i="10"/>
  <c r="E107" i="10"/>
  <c r="E106" i="10"/>
  <c r="E105" i="10"/>
  <c r="E104" i="10"/>
  <c r="E103" i="10"/>
  <c r="E102" i="10"/>
  <c r="E100" i="10"/>
  <c r="E99" i="10"/>
  <c r="E98" i="10"/>
  <c r="E96" i="10"/>
  <c r="E95" i="10"/>
  <c r="E94" i="10"/>
  <c r="E93" i="10"/>
  <c r="E92" i="10"/>
  <c r="E91" i="10"/>
  <c r="E90" i="10"/>
  <c r="E89" i="10"/>
  <c r="E88" i="10"/>
  <c r="E85" i="10"/>
  <c r="E84" i="10"/>
  <c r="E81" i="10"/>
  <c r="E80" i="10"/>
  <c r="E79" i="10"/>
  <c r="E78" i="10"/>
  <c r="E77" i="10"/>
  <c r="E76" i="10"/>
  <c r="E75" i="10"/>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E15" i="10"/>
  <c r="E14" i="10"/>
  <c r="E13" i="10"/>
  <c r="E12" i="10"/>
  <c r="E11" i="10"/>
  <c r="E10" i="10"/>
  <c r="E9" i="10"/>
  <c r="E8" i="10"/>
  <c r="E7" i="10"/>
  <c r="E6" i="10"/>
  <c r="E5" i="10"/>
  <c r="E4" i="10"/>
  <c r="F33" i="1"/>
  <c r="F32" i="1"/>
  <c r="I18" i="1" l="1"/>
  <c r="I19" i="1"/>
  <c r="C31" i="23"/>
  <c r="F33" i="23" s="1"/>
  <c r="S34" i="23"/>
  <c r="S33" i="23"/>
  <c r="S32" i="23"/>
  <c r="S30" i="21"/>
  <c r="K5" i="21"/>
  <c r="F32" i="23" l="1"/>
  <c r="K7" i="21"/>
  <c r="B38" i="1"/>
  <c r="B38" i="23" s="1"/>
  <c r="B37" i="23"/>
  <c r="B42" i="23"/>
  <c r="B43" i="23"/>
  <c r="B44" i="23"/>
  <c r="B45" i="23"/>
  <c r="B46" i="23"/>
  <c r="B47" i="23"/>
  <c r="B48" i="23"/>
  <c r="B49" i="23"/>
  <c r="Q1" i="23"/>
  <c r="B1" i="23"/>
  <c r="B43" i="21"/>
  <c r="B44" i="21"/>
  <c r="B45" i="21"/>
  <c r="B46" i="21"/>
  <c r="B47" i="21"/>
  <c r="B48" i="21"/>
  <c r="B49" i="21"/>
  <c r="B42" i="21"/>
  <c r="J27" i="21"/>
  <c r="E27" i="21"/>
  <c r="B27" i="21"/>
  <c r="T32" i="19"/>
  <c r="T33" i="19"/>
  <c r="T34" i="19"/>
  <c r="T35" i="19"/>
  <c r="T36" i="19"/>
  <c r="T37" i="19"/>
  <c r="T38" i="19"/>
  <c r="T39" i="19"/>
  <c r="T40" i="19"/>
  <c r="T41" i="19"/>
  <c r="T42" i="19"/>
  <c r="T43" i="19"/>
  <c r="T44" i="19"/>
  <c r="T45" i="19"/>
  <c r="T46" i="19"/>
  <c r="T31" i="19"/>
  <c r="B8" i="19"/>
  <c r="C12" i="21"/>
  <c r="C13" i="21"/>
  <c r="Q1" i="21"/>
  <c r="B1" i="21"/>
  <c r="B1" i="19"/>
  <c r="J27" i="1"/>
  <c r="B27" i="1"/>
  <c r="E27" i="1"/>
  <c r="N26" i="19"/>
  <c r="X31" i="19" l="1"/>
  <c r="C8" i="19"/>
  <c r="X38" i="19"/>
  <c r="X45" i="19"/>
  <c r="X37" i="19"/>
  <c r="X36" i="19"/>
  <c r="X43" i="19"/>
  <c r="X35" i="19"/>
  <c r="X42" i="19"/>
  <c r="X41" i="19"/>
  <c r="X33" i="19"/>
  <c r="X39" i="19"/>
  <c r="X44" i="19"/>
  <c r="X34" i="19"/>
  <c r="X40" i="19"/>
  <c r="X32" i="19"/>
  <c r="Q26" i="19"/>
  <c r="S34" i="21" l="1"/>
  <c r="W32" i="21" s="1"/>
  <c r="S33" i="21"/>
  <c r="S32" i="21"/>
  <c r="S30" i="23"/>
  <c r="U25" i="23"/>
  <c r="T25" i="23"/>
  <c r="S25" i="23"/>
  <c r="R25" i="23"/>
  <c r="Q25" i="23"/>
  <c r="Q26" i="23"/>
  <c r="V34" i="21"/>
  <c r="V33" i="21"/>
  <c r="V32" i="21"/>
  <c r="R32" i="21"/>
  <c r="V31" i="21"/>
  <c r="R31" i="21"/>
  <c r="V30" i="21"/>
  <c r="R30" i="21"/>
  <c r="G30" i="1"/>
  <c r="G30" i="21"/>
  <c r="J33" i="21"/>
  <c r="J31" i="21"/>
  <c r="T16" i="21"/>
  <c r="T17" i="21"/>
  <c r="T18" i="21"/>
  <c r="T19" i="21"/>
  <c r="T20" i="21"/>
  <c r="T21" i="21"/>
  <c r="T22" i="21"/>
  <c r="T23" i="21"/>
  <c r="T24" i="21"/>
  <c r="T25" i="21"/>
  <c r="T26" i="21"/>
  <c r="Q25" i="21"/>
  <c r="R25" i="21"/>
  <c r="S25" i="21"/>
  <c r="U25" i="21"/>
  <c r="V25" i="21"/>
  <c r="B57" i="19"/>
  <c r="B56" i="19"/>
  <c r="B55" i="19"/>
  <c r="V33" i="1"/>
  <c r="V32" i="1"/>
  <c r="V31" i="1"/>
  <c r="V30" i="1"/>
  <c r="R30" i="1"/>
  <c r="J33" i="1"/>
  <c r="J31" i="1"/>
  <c r="H32" i="1"/>
  <c r="H30" i="1"/>
  <c r="W25" i="1"/>
  <c r="C30" i="1"/>
  <c r="R32" i="1"/>
  <c r="R31" i="1"/>
  <c r="V34" i="1"/>
  <c r="S31" i="1"/>
  <c r="W34" i="1" l="1"/>
  <c r="K5" i="23" s="1"/>
  <c r="K6" i="1"/>
  <c r="X47" i="21"/>
  <c r="V12" i="23" l="1"/>
  <c r="W32" i="23"/>
  <c r="F34" i="23" s="1"/>
  <c r="W31" i="23" s="1"/>
  <c r="V11" i="23"/>
  <c r="V25" i="23"/>
  <c r="C18" i="19"/>
  <c r="C17" i="19"/>
  <c r="L7" i="19"/>
  <c r="W32" i="1" l="1"/>
  <c r="F34" i="1" s="1"/>
  <c r="D18" i="19" l="1"/>
  <c r="W31" i="1"/>
  <c r="D31" i="23" l="1"/>
  <c r="J37" i="1" l="1"/>
  <c r="J37" i="21" s="1"/>
  <c r="J37" i="23" l="1"/>
  <c r="V10" i="23" l="1"/>
  <c r="W25" i="23" s="1"/>
  <c r="Q30" i="19"/>
  <c r="B49" i="19"/>
  <c r="V10" i="21" l="1"/>
  <c r="W25" i="21" s="1"/>
  <c r="H38" i="23" l="1"/>
  <c r="M18" i="19" l="1"/>
  <c r="M19" i="19"/>
  <c r="U47" i="23" l="1"/>
  <c r="U49" i="23"/>
  <c r="X47" i="23"/>
  <c r="U48" i="23"/>
  <c r="R47" i="23"/>
  <c r="C34" i="23" l="1"/>
  <c r="E33" i="23"/>
  <c r="C33" i="23"/>
  <c r="E32" i="23"/>
  <c r="C32" i="23"/>
  <c r="N12" i="1"/>
  <c r="N13" i="1"/>
  <c r="N14" i="1"/>
  <c r="N15" i="1"/>
  <c r="N16" i="1"/>
  <c r="N17" i="1"/>
  <c r="N18" i="1"/>
  <c r="N19" i="1"/>
  <c r="N20" i="1"/>
  <c r="N21" i="1"/>
  <c r="N22" i="1"/>
  <c r="N23" i="1"/>
  <c r="N24" i="1"/>
  <c r="N25" i="1"/>
  <c r="N26" i="1"/>
  <c r="N11" i="1"/>
  <c r="C27" i="1"/>
  <c r="E34" i="1" s="1"/>
  <c r="F27" i="1"/>
  <c r="H34" i="1" l="1"/>
  <c r="H33" i="23"/>
  <c r="V12" i="21" l="1"/>
  <c r="V13" i="21"/>
  <c r="V14" i="21"/>
  <c r="V15" i="21"/>
  <c r="V16" i="21"/>
  <c r="V17" i="21"/>
  <c r="V18" i="21"/>
  <c r="V19" i="21"/>
  <c r="V20" i="21"/>
  <c r="V21" i="21"/>
  <c r="V22" i="21"/>
  <c r="V23" i="21"/>
  <c r="V24" i="21"/>
  <c r="V26" i="21"/>
  <c r="V11" i="21"/>
  <c r="M12" i="1" l="1"/>
  <c r="M13" i="1"/>
  <c r="M14" i="1"/>
  <c r="M15" i="1"/>
  <c r="M16" i="1"/>
  <c r="M17" i="1"/>
  <c r="M18" i="1"/>
  <c r="M19" i="1"/>
  <c r="M20" i="1"/>
  <c r="M21" i="1"/>
  <c r="M22" i="1"/>
  <c r="M23" i="1"/>
  <c r="M24" i="1"/>
  <c r="M25" i="1"/>
  <c r="M26" i="1"/>
  <c r="M11" i="1"/>
  <c r="K26" i="19"/>
  <c r="J26" i="19"/>
  <c r="I26" i="19"/>
  <c r="H26" i="19"/>
  <c r="F31" i="1"/>
  <c r="H31" i="1" s="1"/>
  <c r="G32" i="1"/>
  <c r="H33" i="1"/>
  <c r="G33" i="1" l="1"/>
  <c r="D33" i="1"/>
  <c r="W30" i="1"/>
  <c r="D17" i="19"/>
  <c r="G31" i="1"/>
  <c r="U49" i="21"/>
  <c r="B26" i="23" l="1"/>
  <c r="C12" i="23"/>
  <c r="C13" i="23"/>
  <c r="C14" i="23"/>
  <c r="C15" i="23"/>
  <c r="C16" i="23"/>
  <c r="C17" i="23"/>
  <c r="C18" i="23"/>
  <c r="N18" i="23" s="1"/>
  <c r="C19" i="23"/>
  <c r="N19" i="23" s="1"/>
  <c r="C20" i="23"/>
  <c r="N20" i="23" s="1"/>
  <c r="C21" i="23"/>
  <c r="N21" i="23" s="1"/>
  <c r="C22" i="23"/>
  <c r="N22" i="23" s="1"/>
  <c r="C23" i="23"/>
  <c r="N23" i="23" s="1"/>
  <c r="C24" i="23"/>
  <c r="N24" i="23" s="1"/>
  <c r="C25" i="23"/>
  <c r="N25" i="23" s="1"/>
  <c r="C26" i="23"/>
  <c r="N26" i="23" s="1"/>
  <c r="B12" i="23"/>
  <c r="B13" i="23"/>
  <c r="B14" i="23"/>
  <c r="B15" i="23"/>
  <c r="B16" i="23"/>
  <c r="B17" i="23"/>
  <c r="B18" i="23"/>
  <c r="B19" i="23"/>
  <c r="B20" i="23"/>
  <c r="B21" i="23"/>
  <c r="B22" i="23"/>
  <c r="B23" i="23"/>
  <c r="B24" i="23"/>
  <c r="B25" i="23"/>
  <c r="S39" i="19"/>
  <c r="I32" i="19"/>
  <c r="I33" i="19"/>
  <c r="I34" i="19"/>
  <c r="I35" i="19"/>
  <c r="I36" i="19"/>
  <c r="I37" i="19"/>
  <c r="I38" i="19"/>
  <c r="I39" i="19"/>
  <c r="I40" i="19"/>
  <c r="I41" i="19"/>
  <c r="I42" i="19"/>
  <c r="I43" i="19"/>
  <c r="I44" i="19"/>
  <c r="I45" i="19"/>
  <c r="I46" i="19"/>
  <c r="H32" i="19"/>
  <c r="H33" i="19"/>
  <c r="H34" i="19"/>
  <c r="H35" i="19"/>
  <c r="H36" i="19"/>
  <c r="H37" i="19"/>
  <c r="H38" i="19"/>
  <c r="H39" i="19"/>
  <c r="H40" i="19"/>
  <c r="H41" i="19"/>
  <c r="H42" i="19"/>
  <c r="H43" i="19"/>
  <c r="H44" i="19"/>
  <c r="H45" i="19"/>
  <c r="H46" i="19"/>
  <c r="B32" i="19"/>
  <c r="B33" i="19"/>
  <c r="B34" i="19"/>
  <c r="B35" i="19"/>
  <c r="B36" i="19"/>
  <c r="B37" i="19"/>
  <c r="B38" i="19"/>
  <c r="B39" i="19"/>
  <c r="B40" i="19"/>
  <c r="B41" i="19"/>
  <c r="B42" i="19"/>
  <c r="B43" i="19"/>
  <c r="B44" i="19"/>
  <c r="B45" i="19"/>
  <c r="B46" i="19"/>
  <c r="N12" i="21"/>
  <c r="N13" i="21"/>
  <c r="C14" i="21"/>
  <c r="N14" i="21" s="1"/>
  <c r="C15" i="21"/>
  <c r="N15" i="21" s="1"/>
  <c r="C16" i="21"/>
  <c r="N16" i="21" s="1"/>
  <c r="C17" i="21"/>
  <c r="N17" i="21" s="1"/>
  <c r="C18" i="21"/>
  <c r="N18" i="21" s="1"/>
  <c r="C19" i="21"/>
  <c r="N19" i="21" s="1"/>
  <c r="E32" i="21"/>
  <c r="E33" i="21"/>
  <c r="C34" i="21"/>
  <c r="I26" i="23" l="1"/>
  <c r="I25" i="23"/>
  <c r="I22" i="23"/>
  <c r="I21" i="23"/>
  <c r="I24" i="23"/>
  <c r="I20" i="23"/>
  <c r="I23" i="23"/>
  <c r="I19" i="23"/>
  <c r="I15" i="23"/>
  <c r="I16" i="23"/>
  <c r="I12" i="23"/>
  <c r="I18" i="23"/>
  <c r="I14" i="23"/>
  <c r="I13" i="23"/>
  <c r="I17" i="23"/>
  <c r="C20" i="21"/>
  <c r="N20" i="21" s="1"/>
  <c r="C21" i="21"/>
  <c r="C22" i="21"/>
  <c r="C23" i="21"/>
  <c r="N23" i="21" s="1"/>
  <c r="C24" i="21"/>
  <c r="N24" i="21" s="1"/>
  <c r="C25" i="21"/>
  <c r="N25" i="21" s="1"/>
  <c r="C26" i="21"/>
  <c r="N26" i="21" s="1"/>
  <c r="I13" i="21"/>
  <c r="I12" i="21"/>
  <c r="C11" i="21"/>
  <c r="N11" i="21" s="1"/>
  <c r="B12" i="21"/>
  <c r="B13" i="21"/>
  <c r="B14" i="21"/>
  <c r="B15" i="21"/>
  <c r="B16" i="21"/>
  <c r="B17" i="21"/>
  <c r="B18" i="21"/>
  <c r="B19" i="21"/>
  <c r="B20" i="21"/>
  <c r="B21" i="21"/>
  <c r="B22" i="21"/>
  <c r="B23" i="21"/>
  <c r="B24" i="21"/>
  <c r="B25" i="21"/>
  <c r="B26" i="21"/>
  <c r="B11" i="21"/>
  <c r="I18" i="21"/>
  <c r="I17" i="21"/>
  <c r="I16" i="21"/>
  <c r="I15" i="21"/>
  <c r="I20" i="21" l="1"/>
  <c r="I23" i="21"/>
  <c r="I21" i="21"/>
  <c r="N21" i="21"/>
  <c r="I24" i="21"/>
  <c r="I22" i="21"/>
  <c r="N22" i="21"/>
  <c r="I11" i="21"/>
  <c r="I26" i="21"/>
  <c r="I25" i="21"/>
  <c r="I14" i="21"/>
  <c r="K27" i="1" l="1"/>
  <c r="D34" i="1"/>
  <c r="E34" i="23"/>
  <c r="D32" i="1"/>
  <c r="I20" i="1"/>
  <c r="I21" i="1"/>
  <c r="I22" i="1"/>
  <c r="I23" i="1"/>
  <c r="I24" i="1"/>
  <c r="I25" i="1"/>
  <c r="I26" i="1"/>
  <c r="I12" i="1"/>
  <c r="I13" i="1"/>
  <c r="I14" i="1"/>
  <c r="I15" i="1"/>
  <c r="I16" i="1"/>
  <c r="I17" i="1"/>
  <c r="I11" i="1"/>
  <c r="S44" i="19" l="1"/>
  <c r="S46" i="19"/>
  <c r="S43" i="19"/>
  <c r="S40" i="19"/>
  <c r="S45" i="19"/>
  <c r="S42" i="19"/>
  <c r="S41" i="19"/>
  <c r="L26" i="1"/>
  <c r="O26" i="1" s="1"/>
  <c r="L20" i="1"/>
  <c r="O20" i="1" s="1"/>
  <c r="L25" i="1"/>
  <c r="O25" i="1" s="1"/>
  <c r="L21" i="1"/>
  <c r="O21" i="1" s="1"/>
  <c r="L24" i="1"/>
  <c r="O24" i="1" s="1"/>
  <c r="L19" i="1"/>
  <c r="L18" i="1"/>
  <c r="O18" i="1" s="1"/>
  <c r="L16" i="1"/>
  <c r="O16" i="1" s="1"/>
  <c r="L13" i="1"/>
  <c r="O13" i="1" s="1"/>
  <c r="L23" i="1"/>
  <c r="O23" i="1" s="1"/>
  <c r="L17" i="1"/>
  <c r="O17" i="1" s="1"/>
  <c r="L15" i="1"/>
  <c r="O15" i="1" s="1"/>
  <c r="L12" i="1"/>
  <c r="O12" i="1" s="1"/>
  <c r="L22" i="1"/>
  <c r="O22" i="1" s="1"/>
  <c r="L14" i="1"/>
  <c r="O14" i="1" s="1"/>
  <c r="L11" i="1"/>
  <c r="S35" i="19"/>
  <c r="S37" i="19"/>
  <c r="S34" i="19"/>
  <c r="S38" i="19"/>
  <c r="S36" i="19"/>
  <c r="S33" i="19"/>
  <c r="S32" i="19"/>
  <c r="S31" i="19"/>
  <c r="M5" i="23"/>
  <c r="I31" i="23"/>
  <c r="I33" i="23"/>
  <c r="S42" i="23"/>
  <c r="T42" i="23"/>
  <c r="U42" i="23"/>
  <c r="V42" i="23"/>
  <c r="W42" i="23"/>
  <c r="X42" i="23"/>
  <c r="S43" i="23"/>
  <c r="T43" i="23"/>
  <c r="U43" i="23"/>
  <c r="V43" i="23"/>
  <c r="W43" i="23"/>
  <c r="X43" i="23"/>
  <c r="R43" i="23"/>
  <c r="R42" i="23"/>
  <c r="R39" i="23"/>
  <c r="S39" i="23"/>
  <c r="T39" i="23"/>
  <c r="U39" i="23"/>
  <c r="V39" i="23"/>
  <c r="W39" i="23"/>
  <c r="S38" i="23"/>
  <c r="T38" i="23"/>
  <c r="U38" i="23"/>
  <c r="V38" i="23"/>
  <c r="W38" i="23"/>
  <c r="R38" i="23"/>
  <c r="V13" i="23"/>
  <c r="V14" i="23"/>
  <c r="V15" i="23"/>
  <c r="V16" i="23"/>
  <c r="V17" i="23"/>
  <c r="V18" i="23"/>
  <c r="V19" i="23"/>
  <c r="V20" i="23"/>
  <c r="V21" i="23"/>
  <c r="V22" i="23"/>
  <c r="V23" i="23"/>
  <c r="V24" i="23"/>
  <c r="V26" i="23"/>
  <c r="O11" i="1" l="1"/>
  <c r="C26" i="19"/>
  <c r="J39" i="19"/>
  <c r="O19" i="1"/>
  <c r="J27" i="23"/>
  <c r="E27" i="23"/>
  <c r="B27" i="23"/>
  <c r="R30" i="23"/>
  <c r="V33" i="23"/>
  <c r="R31" i="23"/>
  <c r="V34" i="23"/>
  <c r="G30" i="23"/>
  <c r="V32" i="23"/>
  <c r="R32" i="23"/>
  <c r="V30" i="23"/>
  <c r="V31" i="23"/>
  <c r="N17" i="23"/>
  <c r="N12" i="23"/>
  <c r="N13" i="23"/>
  <c r="N15" i="23"/>
  <c r="N14" i="23"/>
  <c r="N16" i="23"/>
  <c r="S47" i="23"/>
  <c r="Q48" i="23"/>
  <c r="S49" i="23"/>
  <c r="R49" i="23" s="1"/>
  <c r="V47" i="23"/>
  <c r="G33" i="23"/>
  <c r="K12" i="23"/>
  <c r="K14" i="23"/>
  <c r="K16" i="23"/>
  <c r="K18" i="23"/>
  <c r="K20" i="23"/>
  <c r="K22" i="23"/>
  <c r="K24" i="23"/>
  <c r="K26" i="23"/>
  <c r="K13" i="23"/>
  <c r="K19" i="23"/>
  <c r="K23" i="23"/>
  <c r="J11" i="23"/>
  <c r="J12" i="23"/>
  <c r="J16" i="23"/>
  <c r="J18" i="23"/>
  <c r="J22" i="23"/>
  <c r="J26" i="23"/>
  <c r="J13" i="23"/>
  <c r="J15" i="23"/>
  <c r="J17" i="23"/>
  <c r="J19" i="23"/>
  <c r="J21" i="23"/>
  <c r="J23" i="23"/>
  <c r="J25" i="23"/>
  <c r="K11" i="23"/>
  <c r="K15" i="23"/>
  <c r="K17" i="23"/>
  <c r="K21" i="23"/>
  <c r="K25" i="23"/>
  <c r="J14" i="23"/>
  <c r="J20" i="23"/>
  <c r="J24" i="23"/>
  <c r="M27" i="1"/>
  <c r="E30" i="23"/>
  <c r="F30" i="23"/>
  <c r="C30" i="23"/>
  <c r="G10" i="19"/>
  <c r="H10" i="19"/>
  <c r="I10" i="19"/>
  <c r="J10" i="19"/>
  <c r="K10" i="19"/>
  <c r="F10" i="19"/>
  <c r="R48" i="23" l="1"/>
  <c r="U26" i="23"/>
  <c r="T26" i="23"/>
  <c r="W26" i="23" s="1"/>
  <c r="S26" i="23"/>
  <c r="R26" i="23"/>
  <c r="U24" i="23"/>
  <c r="T24" i="23"/>
  <c r="W24" i="23" s="1"/>
  <c r="S24" i="23"/>
  <c r="R24" i="23"/>
  <c r="Q24" i="23"/>
  <c r="U23" i="23"/>
  <c r="T23" i="23"/>
  <c r="W23" i="23" s="1"/>
  <c r="S23" i="23"/>
  <c r="R23" i="23"/>
  <c r="Q23" i="23"/>
  <c r="U22" i="23"/>
  <c r="T22" i="23"/>
  <c r="W22" i="23" s="1"/>
  <c r="S22" i="23"/>
  <c r="R22" i="23"/>
  <c r="Q22" i="23"/>
  <c r="B41" i="23"/>
  <c r="U21" i="23"/>
  <c r="T21" i="23"/>
  <c r="W21" i="23" s="1"/>
  <c r="S21" i="23"/>
  <c r="R21" i="23"/>
  <c r="Q21" i="23"/>
  <c r="U20" i="23"/>
  <c r="T20" i="23"/>
  <c r="W20" i="23" s="1"/>
  <c r="S20" i="23"/>
  <c r="R20" i="23"/>
  <c r="Q20" i="23"/>
  <c r="U19" i="23"/>
  <c r="T19" i="23"/>
  <c r="W19" i="23" s="1"/>
  <c r="S19" i="23"/>
  <c r="R19" i="23"/>
  <c r="Q19" i="23"/>
  <c r="U18" i="23"/>
  <c r="T18" i="23"/>
  <c r="W18" i="23" s="1"/>
  <c r="S18" i="23"/>
  <c r="R18" i="23"/>
  <c r="Q18" i="23"/>
  <c r="U17" i="23"/>
  <c r="T17" i="23"/>
  <c r="W17" i="23" s="1"/>
  <c r="S17" i="23"/>
  <c r="R17" i="23"/>
  <c r="Q17" i="23"/>
  <c r="U16" i="23"/>
  <c r="T16" i="23"/>
  <c r="W16" i="23" s="1"/>
  <c r="S16" i="23"/>
  <c r="R16" i="23"/>
  <c r="Q16" i="23"/>
  <c r="U15" i="23"/>
  <c r="T15" i="23"/>
  <c r="W15" i="23" s="1"/>
  <c r="S15" i="23"/>
  <c r="R15" i="23"/>
  <c r="Q15" i="23"/>
  <c r="U14" i="23"/>
  <c r="T14" i="23"/>
  <c r="S14" i="23"/>
  <c r="R14" i="23"/>
  <c r="Q14" i="23"/>
  <c r="U13" i="23"/>
  <c r="T13" i="23"/>
  <c r="W13" i="23" s="1"/>
  <c r="S13" i="23"/>
  <c r="R13" i="23"/>
  <c r="Q13" i="23"/>
  <c r="U12" i="23"/>
  <c r="T12" i="23"/>
  <c r="W12" i="23" s="1"/>
  <c r="S12" i="23"/>
  <c r="R12" i="23"/>
  <c r="Q12" i="23"/>
  <c r="U11" i="23"/>
  <c r="S31" i="23" s="1"/>
  <c r="W34" i="23" s="1"/>
  <c r="T11" i="23"/>
  <c r="W11" i="23" s="1"/>
  <c r="S11" i="23"/>
  <c r="R11" i="23"/>
  <c r="Q11" i="23"/>
  <c r="T44" i="23"/>
  <c r="S44" i="23"/>
  <c r="R44" i="23"/>
  <c r="X44" i="23"/>
  <c r="W44" i="23"/>
  <c r="V44" i="23"/>
  <c r="U44" i="23"/>
  <c r="X39" i="23"/>
  <c r="W40" i="23" s="1"/>
  <c r="X38" i="23"/>
  <c r="C11" i="23"/>
  <c r="N11" i="23" s="1"/>
  <c r="B11" i="23"/>
  <c r="R27" i="23"/>
  <c r="K7" i="23"/>
  <c r="M20" i="23" s="1"/>
  <c r="J5" i="23"/>
  <c r="V4" i="23"/>
  <c r="U4" i="23"/>
  <c r="T4" i="23"/>
  <c r="S4" i="23"/>
  <c r="R4" i="23"/>
  <c r="T6" i="23" s="1"/>
  <c r="B50" i="19"/>
  <c r="B51" i="19"/>
  <c r="B52" i="19"/>
  <c r="B53" i="19"/>
  <c r="B54" i="19"/>
  <c r="M32" i="19"/>
  <c r="M33" i="19"/>
  <c r="M34" i="19"/>
  <c r="M35" i="19"/>
  <c r="M36" i="19"/>
  <c r="M37" i="19"/>
  <c r="M38" i="19"/>
  <c r="M39" i="19"/>
  <c r="M40" i="19"/>
  <c r="M41" i="19"/>
  <c r="M42" i="19"/>
  <c r="M43" i="19"/>
  <c r="M44" i="19"/>
  <c r="M45" i="19"/>
  <c r="S30" i="19"/>
  <c r="T30" i="19"/>
  <c r="V31" i="19"/>
  <c r="Q31" i="19"/>
  <c r="V32" i="19"/>
  <c r="Q32" i="19"/>
  <c r="V33" i="19"/>
  <c r="Q33" i="19"/>
  <c r="V34" i="19"/>
  <c r="Q34" i="19"/>
  <c r="V35" i="19"/>
  <c r="Q35" i="19"/>
  <c r="V36" i="19"/>
  <c r="Q36" i="19"/>
  <c r="V37" i="19"/>
  <c r="Q37" i="19"/>
  <c r="V38" i="19"/>
  <c r="Q38" i="19"/>
  <c r="V39" i="19"/>
  <c r="Q39" i="19"/>
  <c r="V40" i="19"/>
  <c r="Q40" i="19"/>
  <c r="V41" i="19"/>
  <c r="Q41" i="19"/>
  <c r="V42" i="19"/>
  <c r="Q42" i="19"/>
  <c r="V43" i="19"/>
  <c r="Q43" i="19"/>
  <c r="V44" i="19"/>
  <c r="Q44" i="19"/>
  <c r="V45" i="19"/>
  <c r="Q45" i="19"/>
  <c r="M31" i="19"/>
  <c r="W14" i="23" l="1"/>
  <c r="M21" i="23"/>
  <c r="M26" i="23"/>
  <c r="M22" i="23"/>
  <c r="R7" i="23"/>
  <c r="M17" i="23"/>
  <c r="M16" i="23"/>
  <c r="M18" i="23"/>
  <c r="M23" i="23"/>
  <c r="M24" i="23"/>
  <c r="M25" i="23"/>
  <c r="M12" i="23"/>
  <c r="M19" i="23"/>
  <c r="M13" i="23"/>
  <c r="M14" i="23"/>
  <c r="M15" i="23"/>
  <c r="T7" i="23"/>
  <c r="F27" i="23"/>
  <c r="C27" i="23"/>
  <c r="F31" i="23" s="1"/>
  <c r="M11" i="23"/>
  <c r="I11" i="23"/>
  <c r="V5" i="23"/>
  <c r="R5" i="23"/>
  <c r="T5" i="23"/>
  <c r="J10" i="23"/>
  <c r="K10" i="23"/>
  <c r="N10" i="23"/>
  <c r="R6" i="23"/>
  <c r="Q46" i="19"/>
  <c r="K6" i="23" l="1"/>
  <c r="H34" i="23"/>
  <c r="M27" i="23"/>
  <c r="C6" i="23" s="1"/>
  <c r="W30" i="23"/>
  <c r="W33" i="23" s="1"/>
  <c r="K27" i="23"/>
  <c r="D34" i="23"/>
  <c r="J31" i="19"/>
  <c r="X25" i="23" l="1"/>
  <c r="X11" i="23"/>
  <c r="H31" i="23"/>
  <c r="C5" i="23"/>
  <c r="G32" i="23"/>
  <c r="H32" i="23"/>
  <c r="X26" i="23"/>
  <c r="X24" i="23"/>
  <c r="X16" i="23"/>
  <c r="X13" i="23"/>
  <c r="X19" i="23"/>
  <c r="X17" i="23"/>
  <c r="X23" i="23"/>
  <c r="X15" i="23"/>
  <c r="X22" i="23"/>
  <c r="X21" i="23"/>
  <c r="X18" i="23"/>
  <c r="X20" i="23"/>
  <c r="X14" i="23"/>
  <c r="X12" i="23"/>
  <c r="D32" i="23"/>
  <c r="D33" i="23"/>
  <c r="G31" i="23"/>
  <c r="L13" i="23"/>
  <c r="O13" i="23" s="1"/>
  <c r="L17" i="23"/>
  <c r="O17" i="23" s="1"/>
  <c r="L25" i="23"/>
  <c r="O25" i="23" s="1"/>
  <c r="L22" i="23"/>
  <c r="O22" i="23" s="1"/>
  <c r="L26" i="23"/>
  <c r="O26" i="23" s="1"/>
  <c r="L24" i="23"/>
  <c r="O24" i="23" s="1"/>
  <c r="L18" i="23"/>
  <c r="O18" i="23" s="1"/>
  <c r="L16" i="23"/>
  <c r="O16" i="23" s="1"/>
  <c r="L19" i="23"/>
  <c r="O19" i="23" s="1"/>
  <c r="L23" i="23"/>
  <c r="O23" i="23" s="1"/>
  <c r="L21" i="23"/>
  <c r="O21" i="23" s="1"/>
  <c r="L11" i="23"/>
  <c r="O11" i="23" s="1"/>
  <c r="L20" i="23"/>
  <c r="O20" i="23" s="1"/>
  <c r="L14" i="23"/>
  <c r="O14" i="23" s="1"/>
  <c r="L12" i="23"/>
  <c r="O12" i="23" s="1"/>
  <c r="L15" i="23"/>
  <c r="O15" i="23" s="1"/>
  <c r="C7" i="23"/>
  <c r="D6" i="23"/>
  <c r="E6" i="23"/>
  <c r="R42" i="21"/>
  <c r="S42" i="21"/>
  <c r="T42" i="21"/>
  <c r="R43" i="21"/>
  <c r="S43" i="21"/>
  <c r="T43" i="21"/>
  <c r="U42" i="21"/>
  <c r="V42" i="21"/>
  <c r="W42" i="21"/>
  <c r="X42" i="21"/>
  <c r="U43" i="21"/>
  <c r="V43" i="21"/>
  <c r="W43" i="21"/>
  <c r="X43" i="21"/>
  <c r="C33" i="21"/>
  <c r="G5" i="23" l="1"/>
  <c r="O27" i="23"/>
  <c r="D7" i="23"/>
  <c r="E38" i="23"/>
  <c r="J38" i="23" s="1"/>
  <c r="L27" i="23"/>
  <c r="E7" i="23"/>
  <c r="R44" i="21"/>
  <c r="X44" i="21"/>
  <c r="W44" i="21"/>
  <c r="T44" i="21"/>
  <c r="S44" i="21"/>
  <c r="V44" i="21"/>
  <c r="U44" i="21"/>
  <c r="W26" i="21"/>
  <c r="R26" i="21"/>
  <c r="S26" i="21"/>
  <c r="Q26" i="21"/>
  <c r="V4" i="21"/>
  <c r="U4" i="21"/>
  <c r="T4" i="21"/>
  <c r="S4" i="21"/>
  <c r="R4" i="21"/>
  <c r="V5" i="21" s="1"/>
  <c r="U26" i="21"/>
  <c r="U24" i="21"/>
  <c r="W24" i="21"/>
  <c r="S24" i="21"/>
  <c r="R24" i="21"/>
  <c r="Q24" i="21"/>
  <c r="U23" i="21"/>
  <c r="W23" i="21"/>
  <c r="S23" i="21"/>
  <c r="R23" i="21"/>
  <c r="Q23" i="21"/>
  <c r="U22" i="21"/>
  <c r="W22" i="21"/>
  <c r="S22" i="21"/>
  <c r="R22" i="21"/>
  <c r="Q22" i="21"/>
  <c r="U21" i="21"/>
  <c r="W21" i="21"/>
  <c r="S21" i="21"/>
  <c r="R21" i="21"/>
  <c r="Q21" i="21"/>
  <c r="U20" i="21"/>
  <c r="W20" i="21"/>
  <c r="S20" i="21"/>
  <c r="R20" i="21"/>
  <c r="Q20" i="21"/>
  <c r="U19" i="21"/>
  <c r="W19" i="21"/>
  <c r="S19" i="21"/>
  <c r="R19" i="21"/>
  <c r="Q19" i="21"/>
  <c r="U18" i="21"/>
  <c r="W18" i="21"/>
  <c r="S18" i="21"/>
  <c r="R18" i="21"/>
  <c r="Q18" i="21"/>
  <c r="U17" i="21"/>
  <c r="W17" i="21"/>
  <c r="S17" i="21"/>
  <c r="R17" i="21"/>
  <c r="Q17" i="21"/>
  <c r="U16" i="21"/>
  <c r="W16" i="21"/>
  <c r="S16" i="21"/>
  <c r="R16" i="21"/>
  <c r="Q16" i="21"/>
  <c r="U15" i="21"/>
  <c r="T15" i="21"/>
  <c r="W15" i="21" s="1"/>
  <c r="S15" i="21"/>
  <c r="R15" i="21"/>
  <c r="Q15" i="21"/>
  <c r="U14" i="21"/>
  <c r="T14" i="21"/>
  <c r="S14" i="21"/>
  <c r="R14" i="21"/>
  <c r="Q14" i="21"/>
  <c r="U13" i="21"/>
  <c r="T13" i="21"/>
  <c r="W13" i="21" s="1"/>
  <c r="S13" i="21"/>
  <c r="R13" i="21"/>
  <c r="Q13" i="21"/>
  <c r="U12" i="21"/>
  <c r="T12" i="21"/>
  <c r="S12" i="21"/>
  <c r="R12" i="21"/>
  <c r="Q12" i="21"/>
  <c r="U11" i="21"/>
  <c r="S31" i="21" s="1"/>
  <c r="T11" i="21"/>
  <c r="W11" i="21" s="1"/>
  <c r="S11" i="21"/>
  <c r="R11" i="21"/>
  <c r="Q11" i="21"/>
  <c r="X48" i="21"/>
  <c r="W48" i="21"/>
  <c r="V48" i="21"/>
  <c r="U48" i="21"/>
  <c r="R47" i="21"/>
  <c r="H38" i="21"/>
  <c r="B37" i="21"/>
  <c r="W39" i="21"/>
  <c r="V39" i="21"/>
  <c r="U39" i="21"/>
  <c r="T39" i="21"/>
  <c r="S39" i="21"/>
  <c r="R39" i="21"/>
  <c r="W38" i="21"/>
  <c r="V38" i="21"/>
  <c r="U38" i="21"/>
  <c r="T38" i="21"/>
  <c r="S38" i="21"/>
  <c r="R38" i="21"/>
  <c r="K6" i="21" l="1"/>
  <c r="W34" i="21"/>
  <c r="W14" i="21"/>
  <c r="W12" i="21"/>
  <c r="X39" i="21"/>
  <c r="W40" i="21" s="1"/>
  <c r="K12" i="21"/>
  <c r="K16" i="21"/>
  <c r="K20" i="21"/>
  <c r="K24" i="21"/>
  <c r="K21" i="21"/>
  <c r="K19" i="21"/>
  <c r="K11" i="21"/>
  <c r="K13" i="21"/>
  <c r="K17" i="21"/>
  <c r="K25" i="21"/>
  <c r="K14" i="21"/>
  <c r="K18" i="21"/>
  <c r="K22" i="21"/>
  <c r="K26" i="21"/>
  <c r="K15" i="21"/>
  <c r="K23" i="21"/>
  <c r="E5" i="23"/>
  <c r="D5" i="23"/>
  <c r="U47" i="21"/>
  <c r="I31" i="21"/>
  <c r="D31" i="21"/>
  <c r="J12" i="21"/>
  <c r="J14" i="21"/>
  <c r="J16" i="21"/>
  <c r="J18" i="21"/>
  <c r="J20" i="21"/>
  <c r="J22" i="21"/>
  <c r="J24" i="21"/>
  <c r="J26" i="21"/>
  <c r="J11" i="21"/>
  <c r="J13" i="21"/>
  <c r="J15" i="21"/>
  <c r="J17" i="21"/>
  <c r="J19" i="21"/>
  <c r="J21" i="21"/>
  <c r="J23" i="21"/>
  <c r="J25" i="21"/>
  <c r="J10" i="21"/>
  <c r="N10" i="21"/>
  <c r="K10" i="21"/>
  <c r="I6" i="23"/>
  <c r="I7" i="23" s="1"/>
  <c r="I5" i="23"/>
  <c r="F30" i="21"/>
  <c r="X38" i="21"/>
  <c r="S49" i="21"/>
  <c r="I33" i="21"/>
  <c r="C31" i="21"/>
  <c r="C32" i="21"/>
  <c r="C30" i="21"/>
  <c r="J5" i="21"/>
  <c r="R5" i="21"/>
  <c r="R6" i="21"/>
  <c r="R7" i="21"/>
  <c r="T7" i="21"/>
  <c r="T5" i="21"/>
  <c r="T6" i="21"/>
  <c r="E30" i="21"/>
  <c r="S47" i="21"/>
  <c r="V47" i="21"/>
  <c r="Q48" i="21"/>
  <c r="W11" i="1"/>
  <c r="W31" i="19" s="1"/>
  <c r="E31" i="21" l="1"/>
  <c r="F27" i="21"/>
  <c r="C27" i="21"/>
  <c r="M21" i="21"/>
  <c r="M13" i="21"/>
  <c r="M24" i="21"/>
  <c r="M19" i="21"/>
  <c r="M11" i="21"/>
  <c r="M22" i="21"/>
  <c r="M14" i="21"/>
  <c r="M25" i="21"/>
  <c r="M17" i="21"/>
  <c r="M20" i="21"/>
  <c r="M12" i="21"/>
  <c r="M16" i="21"/>
  <c r="R48" i="21"/>
  <c r="M23" i="21"/>
  <c r="M15" i="21"/>
  <c r="M26" i="21"/>
  <c r="M18" i="21"/>
  <c r="F33" i="21"/>
  <c r="R49" i="21"/>
  <c r="E31" i="23"/>
  <c r="G33" i="21" l="1"/>
  <c r="H33" i="21"/>
  <c r="F31" i="21"/>
  <c r="K27" i="21"/>
  <c r="L12" i="21" s="1"/>
  <c r="O12" i="21" s="1"/>
  <c r="M27" i="21"/>
  <c r="L1" i="19"/>
  <c r="G47" i="19"/>
  <c r="H31" i="21" l="1"/>
  <c r="F32" i="21"/>
  <c r="H32" i="21" s="1"/>
  <c r="G31" i="21"/>
  <c r="L18" i="21"/>
  <c r="O18" i="21" s="1"/>
  <c r="L17" i="21"/>
  <c r="O17" i="21" s="1"/>
  <c r="L20" i="21"/>
  <c r="O20" i="21" s="1"/>
  <c r="L16" i="21"/>
  <c r="O16" i="21" s="1"/>
  <c r="L14" i="21"/>
  <c r="O14" i="21" s="1"/>
  <c r="L21" i="21"/>
  <c r="O21" i="21" s="1"/>
  <c r="L11" i="21"/>
  <c r="O11" i="21" s="1"/>
  <c r="L15" i="21"/>
  <c r="O15" i="21" s="1"/>
  <c r="L19" i="21"/>
  <c r="O19" i="21" s="1"/>
  <c r="L25" i="21"/>
  <c r="O25" i="21" s="1"/>
  <c r="L22" i="21"/>
  <c r="O22" i="21" s="1"/>
  <c r="L24" i="21"/>
  <c r="O24" i="21" s="1"/>
  <c r="L26" i="21"/>
  <c r="O26" i="21" s="1"/>
  <c r="L23" i="21"/>
  <c r="O23" i="21" s="1"/>
  <c r="L13" i="21"/>
  <c r="O13" i="21" s="1"/>
  <c r="X27" i="23"/>
  <c r="W27" i="23"/>
  <c r="W27" i="21"/>
  <c r="C6" i="21"/>
  <c r="X25" i="21" s="1"/>
  <c r="J30" i="19"/>
  <c r="W30" i="21" l="1"/>
  <c r="G5" i="21"/>
  <c r="G32" i="21"/>
  <c r="D32" i="21"/>
  <c r="D33" i="21"/>
  <c r="X20" i="21"/>
  <c r="X18" i="21"/>
  <c r="X17" i="21"/>
  <c r="X24" i="21"/>
  <c r="X15" i="21"/>
  <c r="X13" i="21"/>
  <c r="X19" i="21"/>
  <c r="X26" i="21"/>
  <c r="X16" i="21"/>
  <c r="X23" i="21"/>
  <c r="X22" i="21"/>
  <c r="X21" i="21"/>
  <c r="X11" i="21"/>
  <c r="X14" i="21"/>
  <c r="X12" i="21"/>
  <c r="L27" i="21"/>
  <c r="D6" i="21"/>
  <c r="D7" i="21" s="1"/>
  <c r="I6" i="21" s="1"/>
  <c r="J46" i="19"/>
  <c r="J43" i="19"/>
  <c r="J45" i="19"/>
  <c r="J40" i="19"/>
  <c r="J42" i="19"/>
  <c r="J44" i="19"/>
  <c r="J41" i="19"/>
  <c r="J32" i="19"/>
  <c r="J33" i="19"/>
  <c r="J34" i="19"/>
  <c r="J38" i="19"/>
  <c r="J35" i="19"/>
  <c r="J36" i="19"/>
  <c r="J37" i="19"/>
  <c r="G7" i="23"/>
  <c r="G6" i="23"/>
  <c r="E6" i="21"/>
  <c r="C7" i="21"/>
  <c r="I5" i="21" s="1"/>
  <c r="P45" i="19"/>
  <c r="L45" i="19"/>
  <c r="P44" i="19"/>
  <c r="L44" i="19"/>
  <c r="P43" i="19"/>
  <c r="L43" i="19"/>
  <c r="P42" i="19"/>
  <c r="L42" i="19"/>
  <c r="P41" i="19"/>
  <c r="L41" i="19"/>
  <c r="P40" i="19"/>
  <c r="L40" i="19"/>
  <c r="P39" i="19"/>
  <c r="L39" i="19"/>
  <c r="P38" i="19"/>
  <c r="L38" i="19"/>
  <c r="P37" i="19"/>
  <c r="L37" i="19"/>
  <c r="P36" i="19"/>
  <c r="L36" i="19"/>
  <c r="P35" i="19"/>
  <c r="L35" i="19"/>
  <c r="P34" i="19"/>
  <c r="L34" i="19"/>
  <c r="P33" i="19"/>
  <c r="L33" i="19"/>
  <c r="P32" i="19"/>
  <c r="L32" i="19"/>
  <c r="P31" i="19"/>
  <c r="L31" i="19"/>
  <c r="B31" i="19"/>
  <c r="I31" i="19"/>
  <c r="H31" i="19"/>
  <c r="H47" i="19" s="1"/>
  <c r="D23" i="19"/>
  <c r="P19" i="19"/>
  <c r="Q19" i="19" s="1"/>
  <c r="O18" i="19"/>
  <c r="H17" i="19"/>
  <c r="H16" i="19"/>
  <c r="C16" i="19"/>
  <c r="C15" i="19"/>
  <c r="N6" i="19"/>
  <c r="I7" i="21" l="1"/>
  <c r="L27" i="1"/>
  <c r="E7" i="21"/>
  <c r="X27" i="21"/>
  <c r="G7" i="21" s="1"/>
  <c r="C23" i="19"/>
  <c r="E23" i="19" s="1"/>
  <c r="G6" i="21" l="1"/>
  <c r="N7" i="19" l="1"/>
  <c r="P9" i="19"/>
  <c r="P8" i="19"/>
  <c r="P7" i="19"/>
  <c r="Q8" i="19"/>
  <c r="N9" i="19"/>
  <c r="N8" i="19"/>
  <c r="J24" i="19" l="1"/>
  <c r="H27" i="19" l="1"/>
  <c r="B38" i="21"/>
  <c r="E38" i="21" l="1"/>
  <c r="J38" i="21" s="1"/>
  <c r="F30" i="1"/>
  <c r="E30" i="1"/>
  <c r="G34" i="1" l="1"/>
  <c r="F34" i="21"/>
  <c r="P17" i="19"/>
  <c r="J17" i="19" s="1"/>
  <c r="E34" i="21" l="1"/>
  <c r="W33" i="21"/>
  <c r="W31" i="21"/>
  <c r="D34" i="21"/>
  <c r="C5" i="21"/>
  <c r="H34" i="21"/>
  <c r="G34" i="21"/>
  <c r="Q17" i="19"/>
  <c r="E5" i="21" l="1"/>
  <c r="D5" i="21"/>
  <c r="W21" i="1"/>
  <c r="W41" i="19" s="1"/>
  <c r="W26" i="1" l="1"/>
  <c r="W45" i="19" s="1"/>
  <c r="W13" i="1"/>
  <c r="W33" i="19" s="1"/>
  <c r="W17" i="1"/>
  <c r="W37" i="19" s="1"/>
  <c r="W19" i="1"/>
  <c r="W39" i="19" s="1"/>
  <c r="W14" i="1"/>
  <c r="W34" i="19" s="1"/>
  <c r="W15" i="1"/>
  <c r="W35" i="19" s="1"/>
  <c r="W23" i="1"/>
  <c r="W43" i="19" s="1"/>
  <c r="W22" i="1"/>
  <c r="W42" i="19" s="1"/>
  <c r="W16" i="1"/>
  <c r="W36" i="19" s="1"/>
  <c r="W24" i="1"/>
  <c r="W44" i="19" s="1"/>
  <c r="W18" i="1"/>
  <c r="W38" i="19" s="1"/>
  <c r="W12" i="1"/>
  <c r="W32" i="19" s="1"/>
  <c r="W20" i="1"/>
  <c r="W40" i="19" s="1"/>
  <c r="W46" i="19" l="1"/>
  <c r="V47" i="1"/>
  <c r="S49" i="1"/>
  <c r="S47" i="1"/>
  <c r="Q48" i="1"/>
  <c r="R48" i="1" l="1"/>
  <c r="X39" i="1"/>
  <c r="X38" i="1"/>
  <c r="R44" i="1"/>
  <c r="F8" i="19" s="1"/>
  <c r="X44" i="1"/>
  <c r="L8" i="19" s="1"/>
  <c r="W44" i="1"/>
  <c r="K8" i="19" s="1"/>
  <c r="V44" i="1"/>
  <c r="J8" i="19" s="1"/>
  <c r="U44" i="1"/>
  <c r="I8" i="19" s="1"/>
  <c r="T44" i="1"/>
  <c r="H8" i="19" s="1"/>
  <c r="S44" i="1"/>
  <c r="G8" i="19" s="1"/>
  <c r="W40" i="1" l="1"/>
  <c r="M10" i="19" s="1"/>
  <c r="L10" i="19"/>
  <c r="R49" i="1"/>
  <c r="D15" i="19" l="1"/>
  <c r="K10" i="1"/>
  <c r="I30" i="19" s="1"/>
  <c r="J10" i="1"/>
  <c r="H30" i="19" s="1"/>
  <c r="N10" i="1"/>
  <c r="J5" i="1"/>
  <c r="D16" i="19" l="1"/>
  <c r="W27" i="1"/>
  <c r="K17" i="19" l="1"/>
  <c r="W33" i="1" l="1"/>
  <c r="P16" i="19"/>
  <c r="J16" i="19" s="1"/>
  <c r="K16" i="19" s="1"/>
  <c r="P18" i="19" l="1"/>
  <c r="Q18" i="19" s="1"/>
  <c r="C5" i="1"/>
  <c r="D5" i="1" s="1"/>
  <c r="Q16" i="19"/>
  <c r="E5" i="1" l="1"/>
  <c r="J18" i="19"/>
  <c r="B41" i="21" l="1"/>
  <c r="C6" i="1"/>
  <c r="X25" i="1" l="1"/>
  <c r="L19" i="19"/>
  <c r="D6" i="1"/>
  <c r="G5" i="1" s="1"/>
  <c r="X26" i="1"/>
  <c r="X17" i="1"/>
  <c r="X15" i="1"/>
  <c r="X23" i="1"/>
  <c r="X22" i="1"/>
  <c r="X21" i="1"/>
  <c r="X20" i="1"/>
  <c r="X19" i="1"/>
  <c r="X24" i="1"/>
  <c r="X14" i="1"/>
  <c r="X13" i="1"/>
  <c r="X12" i="1"/>
  <c r="X11" i="1"/>
  <c r="X16" i="1"/>
  <c r="X18" i="1"/>
  <c r="J19" i="19"/>
  <c r="L16" i="19"/>
  <c r="N16" i="19" s="1"/>
  <c r="L17" i="19"/>
  <c r="N17" i="19" s="1"/>
  <c r="L18" i="19"/>
  <c r="E6" i="1"/>
  <c r="C7" i="1"/>
  <c r="E38" i="1" l="1"/>
  <c r="J38" i="1" s="1"/>
  <c r="J23" i="19"/>
  <c r="E7" i="1"/>
  <c r="D7" i="1"/>
  <c r="I6" i="1" s="1"/>
  <c r="I7" i="1" s="1"/>
  <c r="I5" i="1"/>
  <c r="X27" i="1"/>
  <c r="G7" i="1" s="1"/>
  <c r="G6" i="1" l="1"/>
  <c r="G34" i="23" l="1"/>
  <c r="I18" i="19" l="1"/>
  <c r="N18" i="19" s="1"/>
  <c r="K18" i="19" l="1"/>
  <c r="N19" i="19"/>
  <c r="I19" i="19"/>
  <c r="K27" i="19" l="1"/>
  <c r="K19" i="19"/>
  <c r="X46" i="19" l="1"/>
  <c r="C9" i="19" s="1"/>
  <c r="C10" i="19" l="1"/>
  <c r="I23" i="19" l="1"/>
  <c r="C11" i="19" l="1"/>
  <c r="K23" i="19"/>
  <c r="C7" i="19"/>
  <c r="H24" i="19"/>
  <c r="K24" i="19" s="1"/>
</calcChain>
</file>

<file path=xl/sharedStrings.xml><?xml version="1.0" encoding="utf-8"?>
<sst xmlns="http://schemas.openxmlformats.org/spreadsheetml/2006/main" count="5663" uniqueCount="1931">
  <si>
    <t>SG</t>
  </si>
  <si>
    <t>Plato</t>
  </si>
  <si>
    <t>Brix</t>
  </si>
  <si>
    <t>BJCP style:</t>
  </si>
  <si>
    <t>21 B Specialty IPA: Brown IPA</t>
  </si>
  <si>
    <t>Date:</t>
  </si>
  <si>
    <t>Pre-boil SG:</t>
  </si>
  <si>
    <t>SRM:</t>
  </si>
  <si>
    <t>ABV:</t>
  </si>
  <si>
    <t>OG:</t>
  </si>
  <si>
    <t>Vol CO2:</t>
  </si>
  <si>
    <t>Units:</t>
  </si>
  <si>
    <t>US</t>
  </si>
  <si>
    <t>IBU:</t>
  </si>
  <si>
    <t>ABW:</t>
  </si>
  <si>
    <t>FG:</t>
  </si>
  <si>
    <t>Efficiency:</t>
  </si>
  <si>
    <t>Tinseth</t>
  </si>
  <si>
    <t>BU:GU:</t>
  </si>
  <si>
    <t>Calories:</t>
  </si>
  <si>
    <t>BU:GU</t>
  </si>
  <si>
    <t>Attenuation:</t>
  </si>
  <si>
    <t>Fermentables</t>
  </si>
  <si>
    <t>Water Treatments</t>
  </si>
  <si>
    <t>Type</t>
  </si>
  <si>
    <t>Ingredient</t>
  </si>
  <si>
    <t>Gravity</t>
  </si>
  <si>
    <t>SRM</t>
  </si>
  <si>
    <t>%</t>
  </si>
  <si>
    <t>°L</t>
  </si>
  <si>
    <t>Ca</t>
  </si>
  <si>
    <t>Mg</t>
  </si>
  <si>
    <t>Na</t>
  </si>
  <si>
    <t>SO4</t>
  </si>
  <si>
    <t>Cl</t>
  </si>
  <si>
    <t>HCO3</t>
  </si>
  <si>
    <t>SO4/Cl</t>
  </si>
  <si>
    <t>current ppm</t>
  </si>
  <si>
    <t>target ppm</t>
  </si>
  <si>
    <t>Gypsum</t>
  </si>
  <si>
    <t>Epsom</t>
  </si>
  <si>
    <t>NaCl</t>
  </si>
  <si>
    <t>CaCl2</t>
  </si>
  <si>
    <t>MgCl2</t>
  </si>
  <si>
    <t>Soda</t>
  </si>
  <si>
    <t>Lime</t>
  </si>
  <si>
    <t>g/mash</t>
  </si>
  <si>
    <t>g/sparge</t>
  </si>
  <si>
    <t>g total</t>
  </si>
  <si>
    <t>H2O:grist</t>
  </si>
  <si>
    <t>Mash Temp 1</t>
  </si>
  <si>
    <t>Mash Temp 2</t>
  </si>
  <si>
    <t>Mash Temp 3</t>
  </si>
  <si>
    <t>Sparge</t>
  </si>
  <si>
    <t>Hops</t>
  </si>
  <si>
    <t>Total</t>
  </si>
  <si>
    <t>Boil Time</t>
  </si>
  <si>
    <t>Variety</t>
  </si>
  <si>
    <t>AA%</t>
  </si>
  <si>
    <t>Format</t>
  </si>
  <si>
    <t>oz</t>
  </si>
  <si>
    <t>AAU</t>
  </si>
  <si>
    <t>IBU</t>
  </si>
  <si>
    <t>Yeast</t>
  </si>
  <si>
    <t>1332 Northwest Ale</t>
  </si>
  <si>
    <t>billion cells:</t>
  </si>
  <si>
    <t>Carbonation</t>
  </si>
  <si>
    <t>Vol CO2</t>
  </si>
  <si>
    <t>Sugar</t>
  </si>
  <si>
    <t>Corn sugar (glucose/dextrose)</t>
  </si>
  <si>
    <t>CO2 PSI</t>
  </si>
  <si>
    <t>Other Ingredients/Notes</t>
  </si>
  <si>
    <t>check for updates</t>
  </si>
  <si>
    <t>Beer Stats</t>
  </si>
  <si>
    <t>Final ppm</t>
  </si>
  <si>
    <t>Mash Data</t>
  </si>
  <si>
    <t>Mash Efficiency</t>
  </si>
  <si>
    <t>Temp</t>
  </si>
  <si>
    <t>Volume</t>
  </si>
  <si>
    <t>Time</t>
  </si>
  <si>
    <t>Sugar Content</t>
  </si>
  <si>
    <t>Efficiency</t>
  </si>
  <si>
    <t>Step 1</t>
  </si>
  <si>
    <t>Predicted</t>
  </si>
  <si>
    <t>Accuracy</t>
  </si>
  <si>
    <t>Observed</t>
  </si>
  <si>
    <t>Step 2</t>
  </si>
  <si>
    <t>Step 3</t>
  </si>
  <si>
    <t>OG (SG):</t>
  </si>
  <si>
    <t>Boil Data</t>
  </si>
  <si>
    <t>Fermentation Data</t>
  </si>
  <si>
    <t>% Evaporation:</t>
  </si>
  <si>
    <t>FG (SG):</t>
  </si>
  <si>
    <t>Calibration Temp</t>
  </si>
  <si>
    <t>Boil time:</t>
  </si>
  <si>
    <t>Wort Temp °F</t>
  </si>
  <si>
    <t>Temperature:</t>
  </si>
  <si>
    <t>Measured SG</t>
  </si>
  <si>
    <t>Clarity Ferm:</t>
  </si>
  <si>
    <t>Yeast:</t>
  </si>
  <si>
    <t>Actual SG</t>
  </si>
  <si>
    <t>billion cells to pitch:</t>
  </si>
  <si>
    <t>Notes</t>
  </si>
  <si>
    <t>Metric</t>
  </si>
  <si>
    <t>Pale Malt</t>
  </si>
  <si>
    <t>Extract Potential</t>
  </si>
  <si>
    <t>Lovibond</t>
  </si>
  <si>
    <t>Vienna Malt</t>
  </si>
  <si>
    <t>Munich Malt</t>
  </si>
  <si>
    <t>Non-Barley Malt</t>
  </si>
  <si>
    <t>-Wheat Malts:</t>
  </si>
  <si>
    <t>-Rye Malts:</t>
  </si>
  <si>
    <t>-Oat Malts:</t>
  </si>
  <si>
    <t>-Other Malts:</t>
  </si>
  <si>
    <t>Caramel Malt</t>
  </si>
  <si>
    <t>Briess Caramel Malt 10L</t>
  </si>
  <si>
    <t>Briess Caramel Malt 20L</t>
  </si>
  <si>
    <t>Briess Caramel Malt 30L</t>
  </si>
  <si>
    <t>Briess Caramel Malt 40L</t>
  </si>
  <si>
    <t>Briess Caramel Malt 60L</t>
  </si>
  <si>
    <t>Briess Caramel Malt 80L</t>
  </si>
  <si>
    <t>Briess Caramel Malt 90L</t>
  </si>
  <si>
    <t>Briess Caramel Malt 120L</t>
  </si>
  <si>
    <t>Patagonia Malt Caramel 15L</t>
  </si>
  <si>
    <t>Patagonia Malt Caramel 25L</t>
  </si>
  <si>
    <t>Patagonia Malt Caramel 35L</t>
  </si>
  <si>
    <t>Patagonia Malt Caramel 45L</t>
  </si>
  <si>
    <t>Patagonia Malt Caramel 55L</t>
  </si>
  <si>
    <t>Patagonia Malt Caramel 70L</t>
  </si>
  <si>
    <t>Patagonia Malt Caramel 90L</t>
  </si>
  <si>
    <t>Patagonia Malt Caramel 110L</t>
  </si>
  <si>
    <t>Patagonia Malt Especial Malt 140L</t>
  </si>
  <si>
    <t>Patagonia Malt Caramel 170L</t>
  </si>
  <si>
    <t>Patagonia Malt Caramel 190L</t>
  </si>
  <si>
    <t>Toasted Malt</t>
  </si>
  <si>
    <t>-Aromatic Malts:</t>
  </si>
  <si>
    <t>-Biscuit Malts:</t>
  </si>
  <si>
    <t>-Melanoidin Malts:</t>
  </si>
  <si>
    <t>-Amber Malts:</t>
  </si>
  <si>
    <t>-Brown Malts:</t>
  </si>
  <si>
    <t>Roasted Malt</t>
  </si>
  <si>
    <t>-Chocolate/Coffee Malts:</t>
  </si>
  <si>
    <t>-Black Malts:</t>
  </si>
  <si>
    <t>-Roasted Barley Malts:</t>
  </si>
  <si>
    <t>-Dehusked Malts:</t>
  </si>
  <si>
    <t>-Roasted Wheat/Rye/Spelt Malts:</t>
  </si>
  <si>
    <t>Dextrin Malt</t>
  </si>
  <si>
    <t>Acid Malt</t>
  </si>
  <si>
    <t>Flaked Malt</t>
  </si>
  <si>
    <t>Smoked Malt</t>
  </si>
  <si>
    <t>Extracts/Sugars</t>
  </si>
  <si>
    <t>Attenuation Range</t>
  </si>
  <si>
    <t>Average</t>
  </si>
  <si>
    <t>Wyeast</t>
  </si>
  <si>
    <t>1007 German Ale</t>
  </si>
  <si>
    <t>Hybrid</t>
  </si>
  <si>
    <t>1010 American Wheat</t>
  </si>
  <si>
    <t>Ale</t>
  </si>
  <si>
    <t>1026-PC British Cask Ale</t>
  </si>
  <si>
    <t>1028 London Ale</t>
  </si>
  <si>
    <t>1056 American Ale</t>
  </si>
  <si>
    <t>1084 Irish Ale</t>
  </si>
  <si>
    <t>1087-PC Wyeast Bohemian Ale Blend</t>
  </si>
  <si>
    <t>1098 British Ale</t>
  </si>
  <si>
    <t>1099 Whitbread Ale</t>
  </si>
  <si>
    <t>1187 Ringwood Ale</t>
  </si>
  <si>
    <t>1203-PC Burton IPA Blend</t>
  </si>
  <si>
    <t>1214 Belgian ale</t>
  </si>
  <si>
    <t>1217-PC West Coast IPA</t>
  </si>
  <si>
    <t>1272 American Ale II</t>
  </si>
  <si>
    <t>1275 Thames Valley Ale</t>
  </si>
  <si>
    <t>1318 London Ale III</t>
  </si>
  <si>
    <t>1335 British Ale II</t>
  </si>
  <si>
    <t>1338 European Ale Yeast </t>
  </si>
  <si>
    <t>1388 Belgian Strong Ale</t>
  </si>
  <si>
    <t>1450 Denny's Favorite 50 Ale</t>
  </si>
  <si>
    <t>1469 West Yorkshire Ale</t>
  </si>
  <si>
    <t>1581-PC Belgian Stout</t>
  </si>
  <si>
    <t>1728 Scottish Ale</t>
  </si>
  <si>
    <t>1762 Belgian Abbey Style Ale II</t>
  </si>
  <si>
    <t>1764 Rogue Pacman Ale Yeast</t>
  </si>
  <si>
    <t>1768-PC English Special Bitter</t>
  </si>
  <si>
    <t>1882-PC Thames Valley Ale II</t>
  </si>
  <si>
    <t>1968 London ESB Ale</t>
  </si>
  <si>
    <t>2000-PC Budvar Lager</t>
  </si>
  <si>
    <t>Lager</t>
  </si>
  <si>
    <t>9093PC Imperial Blend</t>
  </si>
  <si>
    <t>2001-PC Pilsner Urquell H-Strain</t>
  </si>
  <si>
    <t>9097-PC Old Ale Blend</t>
  </si>
  <si>
    <t>2002-PC Gambrinus Style Lager</t>
  </si>
  <si>
    <t>2007 Pilsen Lager</t>
  </si>
  <si>
    <t>2035-PC American Lager</t>
  </si>
  <si>
    <t>2042-PC Danish Lager</t>
  </si>
  <si>
    <t>2105-PC Rocky Mountain Lager</t>
  </si>
  <si>
    <t>2112 California Lager</t>
  </si>
  <si>
    <t>2124 Bohemian Lager</t>
  </si>
  <si>
    <t>2206 Bavarian Lager</t>
  </si>
  <si>
    <t>2247-PC European Lager</t>
  </si>
  <si>
    <t>2252PC Rasenmäher Lager Yeast</t>
  </si>
  <si>
    <t>2272-PC North American Lager</t>
  </si>
  <si>
    <t>2278 Czech Pils</t>
  </si>
  <si>
    <t>2308 Munich Lager</t>
  </si>
  <si>
    <t>2352-PC Munich Lager II</t>
  </si>
  <si>
    <t>2487-PC Hella Bock Lager</t>
  </si>
  <si>
    <t>2565 Kölsch</t>
  </si>
  <si>
    <t>2575-PC Kölsch II</t>
  </si>
  <si>
    <t>2633 Octoberfest Lager Blend</t>
  </si>
  <si>
    <t>2782-PC Staro Prague Lager</t>
  </si>
  <si>
    <t>3031-PC Saison-Brett Blend</t>
  </si>
  <si>
    <t>3056 Bavarian Wheat Blend</t>
  </si>
  <si>
    <t>3068 Weihenstephan Weizen</t>
  </si>
  <si>
    <t>3191 Berliner-Weisse Blend</t>
  </si>
  <si>
    <t>3209-PC Oud Bruin Ale Blend</t>
  </si>
  <si>
    <t>3278 Belgian Lambic Blend</t>
  </si>
  <si>
    <t>3333-PC German Wheat</t>
  </si>
  <si>
    <t>3463-PC Forbidden Fruit</t>
  </si>
  <si>
    <t>3522 Belgian Ardennes</t>
  </si>
  <si>
    <t>3538-PC Leuven Pale Ale</t>
  </si>
  <si>
    <t>3638 Bavarian Wheat</t>
  </si>
  <si>
    <t>3655-PC Belgian Schelde Ale</t>
  </si>
  <si>
    <t>3711 French Saison</t>
  </si>
  <si>
    <t>3724 Belgian Saison</t>
  </si>
  <si>
    <t>3725-PC Bière de Garde</t>
  </si>
  <si>
    <t>3726 Farmhouse Ale</t>
  </si>
  <si>
    <t>3739-PC Flanders Golden Ale</t>
  </si>
  <si>
    <t>3763 Roeselare Ale Blend</t>
  </si>
  <si>
    <t>3787 Trappist Style High Gravity</t>
  </si>
  <si>
    <t>3789-PC Trappist Style Blend</t>
  </si>
  <si>
    <t>3822-PC Belgian Dark Ale</t>
  </si>
  <si>
    <t>3864-PC Canadian/Belgian Ale</t>
  </si>
  <si>
    <t>3942-PC Belgian Wheat</t>
  </si>
  <si>
    <t>3944 Belgian Witbier</t>
  </si>
  <si>
    <t>5112 Brettanomyces bruxellensis</t>
  </si>
  <si>
    <t>5151PC Brettanomyces claussenii</t>
  </si>
  <si>
    <t>5223PC Lactobacillus Brevis</t>
  </si>
  <si>
    <t>5335 Lactobacillus delbrueckii</t>
  </si>
  <si>
    <t>5526 Brettanomyces lambicus</t>
  </si>
  <si>
    <t>A01 House</t>
  </si>
  <si>
    <t>Pediococcus Damnosus</t>
  </si>
  <si>
    <t>A04 Barbarian</t>
  </si>
  <si>
    <t>A05 Voyager</t>
  </si>
  <si>
    <t>White Labs</t>
  </si>
  <si>
    <t>A07 Flagship</t>
  </si>
  <si>
    <t>WLP001 California Ale Yeast®</t>
  </si>
  <si>
    <t>A09 Pub</t>
  </si>
  <si>
    <t>WLP002 English Ale Yeast</t>
  </si>
  <si>
    <t>A10 Darkness</t>
  </si>
  <si>
    <t>WLP003 German Ale II Yeast</t>
  </si>
  <si>
    <t>A15 Independence</t>
  </si>
  <si>
    <t>WLP004 Irish Ale Yeast</t>
  </si>
  <si>
    <t>A18 Joystick</t>
  </si>
  <si>
    <t>WLP005 British Ale Yeast</t>
  </si>
  <si>
    <t>A20 Citrus</t>
  </si>
  <si>
    <t>WLP006 Bedford British Ale Yeast</t>
  </si>
  <si>
    <t>A24 Dry Hop</t>
  </si>
  <si>
    <t>WLP007 Dry English Ale Yeast</t>
  </si>
  <si>
    <t>A30 Corporate</t>
  </si>
  <si>
    <t>WLP008 East Coast Ale Yeast</t>
  </si>
  <si>
    <t>A31 Tartan</t>
  </si>
  <si>
    <t>WLP009 Australian Ale Yeast</t>
  </si>
  <si>
    <t>A34 Julius</t>
  </si>
  <si>
    <t>WLP010 10th Anniv Ale Blend</t>
  </si>
  <si>
    <t>A37 POG</t>
  </si>
  <si>
    <t>WLP011 European Ale Yeast</t>
  </si>
  <si>
    <t>A38 Juice</t>
  </si>
  <si>
    <t>WLP013 London Ale Yeast</t>
  </si>
  <si>
    <t>A43 Loki</t>
  </si>
  <si>
    <t>WLP017 Whitbread II Ale Yeast</t>
  </si>
  <si>
    <t>A44 Kveiking</t>
  </si>
  <si>
    <t>WLP019 California IV Ale Yeast</t>
  </si>
  <si>
    <t>A46 Bartleby</t>
  </si>
  <si>
    <t>WLP022 Essex Ale Yeast</t>
  </si>
  <si>
    <t>Abbaye Belgian Ale Yeast</t>
  </si>
  <si>
    <t>WLP023 Burton Ale Yeast</t>
  </si>
  <si>
    <t>Amalgamation - Brett Super Blend</t>
  </si>
  <si>
    <t>WLP025 Southwold Ale Yeast</t>
  </si>
  <si>
    <t>Amalgamation II  - Brett Super Blend</t>
  </si>
  <si>
    <t>WLP026 Premium Bitter Ale Yeast</t>
  </si>
  <si>
    <t>B44 Whiteout</t>
  </si>
  <si>
    <t>WLP028 Edinburgh Scottish Ale Yeast</t>
  </si>
  <si>
    <t>B45 Gnome</t>
  </si>
  <si>
    <t>WLP029 German Ale/ Kölsch Yeast</t>
  </si>
  <si>
    <t>B48 Triple Double</t>
  </si>
  <si>
    <t>WLP030 Thames Valley Ale Yeast</t>
  </si>
  <si>
    <t>B51 Workhorse</t>
  </si>
  <si>
    <t>WLP033 Klassic Ale Yeast</t>
  </si>
  <si>
    <t>B53 Precious</t>
  </si>
  <si>
    <t>WLP036 Düsseldorf Alt Ale Yeast</t>
  </si>
  <si>
    <t>B56 Rustic</t>
  </si>
  <si>
    <t>WLP037 Yorkshire Square Ale Yeast</t>
  </si>
  <si>
    <t>B63 Monastic</t>
  </si>
  <si>
    <t>WLP038 Manchester Ale Yeast</t>
  </si>
  <si>
    <t>B64 Napoleon</t>
  </si>
  <si>
    <t>WLP039 East Midlands Ale Yeast</t>
  </si>
  <si>
    <t>B66 Filibuster</t>
  </si>
  <si>
    <t>WLP041 Pacific Ale Yeast</t>
  </si>
  <si>
    <t>B75 Priory</t>
  </si>
  <si>
    <t>WLP051 California Ale V Yeast</t>
  </si>
  <si>
    <t>Beersel Brettanomyces Blend</t>
  </si>
  <si>
    <t>WLP059 Melbourne Ale Yeast</t>
  </si>
  <si>
    <t>Belle Saison Belgian Saison-Style Yeast</t>
  </si>
  <si>
    <t>WLP060 American Ale Yeast Blend</t>
  </si>
  <si>
    <t>Bretannomyces bruxellenis - Strain TYB184</t>
  </si>
  <si>
    <t>WLP064 Buchner Ale Yeast Blend</t>
  </si>
  <si>
    <t>Bretannomyces bruxellenis - Strain TYB207</t>
  </si>
  <si>
    <t>WLP066 London Fog Ale Yeast</t>
  </si>
  <si>
    <t>Bretannomyces bruxellenis - Strain TYB261</t>
  </si>
  <si>
    <t>WLP072 French Ale Yeast</t>
  </si>
  <si>
    <t>Brussels Brettanomyces Blend</t>
  </si>
  <si>
    <t>WLP073 Artisanal Country Ale Yeast</t>
  </si>
  <si>
    <t>BRY-97 American West Coast Yeast</t>
  </si>
  <si>
    <t>WLP075 Hansen Ale Yeast Blend</t>
  </si>
  <si>
    <t>CBC-1 Cask And Bottle Conditioned Beer Yeast</t>
  </si>
  <si>
    <t>WLP076 Old Sonoma Ale Yeast</t>
  </si>
  <si>
    <t>Coopers Ale Yeast</t>
  </si>
  <si>
    <t>WLP080 Cream Ale Yeast Blend</t>
  </si>
  <si>
    <t>Diamond Lager Yeast</t>
  </si>
  <si>
    <t>WLP085 English Ale Yeast Blend</t>
  </si>
  <si>
    <t>Dry Belgian Ale</t>
  </si>
  <si>
    <t>WLP090 San Diego Super Yeast</t>
  </si>
  <si>
    <t>Empire Ale</t>
  </si>
  <si>
    <t>WLP095 Burlington Ale Yeast</t>
  </si>
  <si>
    <t>F08 Sour Batch Kidz</t>
  </si>
  <si>
    <t>WLP099 Super High Gravity Ale Yeast</t>
  </si>
  <si>
    <t>Farmhouse Sour Ale</t>
  </si>
  <si>
    <t>WLP300 Hefeweizen Ale Yeast</t>
  </si>
  <si>
    <t>Fermentis</t>
  </si>
  <si>
    <t>WLP320 American Hefeweizen Ale Yeast</t>
  </si>
  <si>
    <t>Flanders Specialty Ale</t>
  </si>
  <si>
    <t>WLP351 Bavarian Weizen Yeast</t>
  </si>
  <si>
    <t>Framgarden Kveik</t>
  </si>
  <si>
    <t>WLP380 Hefeweizen IV Ale Yeast</t>
  </si>
  <si>
    <t>Franconian Dark Lager</t>
  </si>
  <si>
    <t>WLP400 Belgian Wit Ale Yeast</t>
  </si>
  <si>
    <t>Funkhouse Pale Ale</t>
  </si>
  <si>
    <t>WLP410 Belgian Wit II Ale Yeast</t>
  </si>
  <si>
    <t>G01 Stefon</t>
  </si>
  <si>
    <t>WLP500 Monastery Ale Yeast</t>
  </si>
  <si>
    <t>G02 Kaiser</t>
  </si>
  <si>
    <t>WLP510 Bastogne Belgian Ale Yeast</t>
  </si>
  <si>
    <t>G03 Dieter</t>
  </si>
  <si>
    <t>WLP515 Antwerp Ale Yeast</t>
  </si>
  <si>
    <t>G17 Gustav</t>
  </si>
  <si>
    <t>WLP530 Abbey Ale Yeast</t>
  </si>
  <si>
    <t>GB001 Brussels Bruxellensis</t>
  </si>
  <si>
    <t>WLP540 Abbey IV Ale Yeast</t>
  </si>
  <si>
    <t>GB002 Tart Cherry Brett</t>
  </si>
  <si>
    <t>WLP545 Belgian Strong Ale Yeast</t>
  </si>
  <si>
    <t>GB110 GigaYeast Lacto</t>
  </si>
  <si>
    <t>WLP550 Belgian Ale Yeast</t>
  </si>
  <si>
    <t>GB121 Farmhouse Sour</t>
  </si>
  <si>
    <t>WLP564 Leeuwenhoek Saison Yeast Blend</t>
  </si>
  <si>
    <t>GB122 Berliner Blend</t>
  </si>
  <si>
    <t>WLP565 Belgian Saison I Yeast</t>
  </si>
  <si>
    <t>GB123 Sour Plum Belgian</t>
  </si>
  <si>
    <t>WLP566 Belgian Saison II Yeast</t>
  </si>
  <si>
    <t>GB124 Saison Sour</t>
  </si>
  <si>
    <t>WLP568 Belgian Style Saison Ale Yeast Blend</t>
  </si>
  <si>
    <t>GB144 Sweet Flemish Brett</t>
  </si>
  <si>
    <t>WLP570 Belgian Golden Ale Yeast</t>
  </si>
  <si>
    <t>GB150 Sour Cherry Funk </t>
  </si>
  <si>
    <t>WLP575 Belgian Style Ale Yeast Blend</t>
  </si>
  <si>
    <t>GB156 Brux Blend</t>
  </si>
  <si>
    <t>WLP585 Belgian Saison III Ale Yeast</t>
  </si>
  <si>
    <t>GigaYeast</t>
  </si>
  <si>
    <t>WLP590 French Saison Ale Yeast</t>
  </si>
  <si>
    <t>GY001 NorCal Ale #1</t>
  </si>
  <si>
    <t>WLP603 Torulaspora delbrueckii</t>
  </si>
  <si>
    <t>GY002  Czech Pilsner</t>
  </si>
  <si>
    <t>WLP611 New Nordic Ale Yeast</t>
  </si>
  <si>
    <t>GY003 Achouffe Belgian Ale</t>
  </si>
  <si>
    <t>WLP616 Funky Cider Blend</t>
  </si>
  <si>
    <t>GY005  Golden Gate Lager</t>
  </si>
  <si>
    <t>WLP630 Berliner Weisse Blend</t>
  </si>
  <si>
    <t>GY007 Belgian Mix</t>
  </si>
  <si>
    <t>WLP640 Brettanomyces anomalus</t>
  </si>
  <si>
    <t>GY011 British Ale #1</t>
  </si>
  <si>
    <t>WLP644 Saccharomyces "bruxellensis" Trois</t>
  </si>
  <si>
    <t>GY014 Scourmont Abbey Ale</t>
  </si>
  <si>
    <t>WLP645 Brettanomyces claussenii</t>
  </si>
  <si>
    <t>GY015 Trappist Tripel</t>
  </si>
  <si>
    <t>WLP648 Brettanomyces bruxellensis Trois Vrai</t>
  </si>
  <si>
    <t>GY016 Altstadt Ale</t>
  </si>
  <si>
    <t>WLP650 Brettanomyces bruxellensis</t>
  </si>
  <si>
    <t>GY017 Bavarian Hefe</t>
  </si>
  <si>
    <t>WLP653 Brettanomyces lambicus</t>
  </si>
  <si>
    <t>GY018 Saison #1</t>
  </si>
  <si>
    <t>WLP655 Belgian Sour Mix 1</t>
  </si>
  <si>
    <t>GY020 Portland Hefe</t>
  </si>
  <si>
    <t>WLP661 Pediococcus damnosus</t>
  </si>
  <si>
    <t>GY021 Kölsch Bier</t>
  </si>
  <si>
    <t>WLP665 Flemish Ale Blend</t>
  </si>
  <si>
    <t>GY027 Saison #2</t>
  </si>
  <si>
    <t>WLP669 Lactobacillus paracollinoides</t>
  </si>
  <si>
    <t>GY028 Belgian Wit</t>
  </si>
  <si>
    <t>WLP670 American Farmhouse Blend</t>
  </si>
  <si>
    <t>GY029 NorCal Ale #5</t>
  </si>
  <si>
    <t>WLP672 Lactobacillus brevis</t>
  </si>
  <si>
    <t>GY030 American Lager</t>
  </si>
  <si>
    <t>WLP673 Lactobacillus buchneri</t>
  </si>
  <si>
    <t>GY031 British Ale #2</t>
  </si>
  <si>
    <t>WLP675 Malolactic Bacteria</t>
  </si>
  <si>
    <t>GY041 British Ale #3</t>
  </si>
  <si>
    <t>WLP677 Lactobacillus delbrueckii Bacteria</t>
  </si>
  <si>
    <t>GY044 Scotch Ale #1</t>
  </si>
  <si>
    <t>WLP678 Lactobacillus hilgardii</t>
  </si>
  <si>
    <t>GY045 German Lager</t>
  </si>
  <si>
    <t>WLP692 Debaryomyces hansenii</t>
  </si>
  <si>
    <t>GY047 Saison Blend</t>
  </si>
  <si>
    <t>WLP693 Lactobacillus plantarum</t>
  </si>
  <si>
    <t>GY048 Golden pear Belgian</t>
  </si>
  <si>
    <t>WLP800 Pilsner Lager Yeast</t>
  </si>
  <si>
    <t>GY054 Vermont IPA Yeast</t>
  </si>
  <si>
    <t>WLP802 Czech Budejovice Lager Yeast</t>
  </si>
  <si>
    <t>GY077 Quebec Abbey Ale Yeast</t>
  </si>
  <si>
    <t>WLP810 San Francisco Lager Yeast</t>
  </si>
  <si>
    <t>GY080 Irish Stout</t>
  </si>
  <si>
    <t>WLP815 Belgian Lager Yeast</t>
  </si>
  <si>
    <t>GY094 German Ale Yeast</t>
  </si>
  <si>
    <t>WLP820 Oktoberfest/Märzen Lager Yeast</t>
  </si>
  <si>
    <t>GY128 British Haze</t>
  </si>
  <si>
    <t>WLP830 German Lager Yeast</t>
  </si>
  <si>
    <t>GY134 Kveik #1</t>
  </si>
  <si>
    <t>WLP833 German Bock Lager Yeast</t>
  </si>
  <si>
    <t>GY135 Hornindal Kveik #5</t>
  </si>
  <si>
    <t>WLP835 German X Lager Yeast</t>
  </si>
  <si>
    <t>Hazy Daze Yeast Blend</t>
  </si>
  <si>
    <t>WLP838 Southern German Lager Yeast</t>
  </si>
  <si>
    <t>Hazy Daze Yeast Blend II</t>
  </si>
  <si>
    <t>WLP840 American Lager Yeast</t>
  </si>
  <si>
    <t>Hessian Pils</t>
  </si>
  <si>
    <t>WLP845 Fast Lager Yeast</t>
  </si>
  <si>
    <t>Hornindal Kveik</t>
  </si>
  <si>
    <t>WLP850 Copenhagen Lager Yeast</t>
  </si>
  <si>
    <t>Imperial Yeast</t>
  </si>
  <si>
    <t>WLP860 Munich Helles Lager Yeast</t>
  </si>
  <si>
    <t>INIS001 – Northern California Ale</t>
  </si>
  <si>
    <t>WLP862 Cry Havoc Lager Yeast</t>
  </si>
  <si>
    <t>INIS003 – Colorado IPA</t>
  </si>
  <si>
    <t>WLP885 Zurich Lager Yeast</t>
  </si>
  <si>
    <t>INIS006 – Eccentric Ale</t>
  </si>
  <si>
    <t>WLP920 Old Bavarian Lager Yeast</t>
  </si>
  <si>
    <t>INIS007 – American Ale Blend</t>
  </si>
  <si>
    <t>WLP925 High Pressure Lager Yeast</t>
  </si>
  <si>
    <t>INIS222 – Belgian Gnome</t>
  </si>
  <si>
    <t>WLP940 Mexican Lager Yeast</t>
  </si>
  <si>
    <t>INIS291 – Farmhouse Saison</t>
  </si>
  <si>
    <t>INIS315 – English Ale</t>
  </si>
  <si>
    <t>INIS318 – English Dry</t>
  </si>
  <si>
    <t>SafAle™ BE-134 Saison yeast</t>
  </si>
  <si>
    <t>INIS711 – Monk Lager</t>
  </si>
  <si>
    <t>SafAle BE-256 Abbaye yeast</t>
  </si>
  <si>
    <t>INIS913 – Brett Barrel</t>
  </si>
  <si>
    <t>SafAle F-2 Neutral ale yeast</t>
  </si>
  <si>
    <t>Inland Island</t>
  </si>
  <si>
    <t>SafAle S-04 English ale yeast</t>
  </si>
  <si>
    <t>Köln Kölsch style Ale Yeast</t>
  </si>
  <si>
    <t>SafAle S-33 Edme yeast</t>
  </si>
  <si>
    <t>L05 Cablecar</t>
  </si>
  <si>
    <t>SafAle T-58 Belgian ale yeast</t>
  </si>
  <si>
    <t>L09 Que Bueno</t>
  </si>
  <si>
    <t>SafAle US-05 American ale yeast</t>
  </si>
  <si>
    <t>L11 Gateway</t>
  </si>
  <si>
    <t>SafAle WB-06 Wheat beer yeast</t>
  </si>
  <si>
    <t>L13 Global</t>
  </si>
  <si>
    <t>SafAle K-97 German ale yeast</t>
  </si>
  <si>
    <t>L17 Harvest</t>
  </si>
  <si>
    <t>SafLager S-189 Hurlimann lager yeast</t>
  </si>
  <si>
    <t>L26 Pilgrimage</t>
  </si>
  <si>
    <t>SafLager S-23 Lager yeast</t>
  </si>
  <si>
    <t>L28 Urkel</t>
  </si>
  <si>
    <t>SafLager W-34/70 German lager yeast</t>
  </si>
  <si>
    <t>Lactobacillus Blend</t>
  </si>
  <si>
    <t>SafBrew HA-18</t>
  </si>
  <si>
    <t>Lallemand Brewing</t>
  </si>
  <si>
    <t>SafBrew DA-16</t>
  </si>
  <si>
    <t>Lida Kveik</t>
  </si>
  <si>
    <t>Lochristi Brettanomyces Blend</t>
  </si>
  <si>
    <t>London English-Style Ale Yeast</t>
  </si>
  <si>
    <t>Melange - Sour Blend</t>
  </si>
  <si>
    <t>Midtbust Kveik</t>
  </si>
  <si>
    <t>Midwestern Ale</t>
  </si>
  <si>
    <t>Munich Classic Wheat Beer Yeast</t>
  </si>
  <si>
    <t>Muntons Ale Dry Yeast</t>
  </si>
  <si>
    <t>New England East Coast Ale Yeast</t>
  </si>
  <si>
    <t>Northeastern Abbey</t>
  </si>
  <si>
    <t>Nottingham Ale High Perfromance Ale Yeast</t>
  </si>
  <si>
    <t>Omega Yeast Lab</t>
  </si>
  <si>
    <t>OYL-004 West Coast Ale I</t>
  </si>
  <si>
    <t>OYL-005 Irish Ale</t>
  </si>
  <si>
    <t>Verdant IPA Ale Yeast</t>
  </si>
  <si>
    <t>OYL-006 British Ale I</t>
  </si>
  <si>
    <t>Voss Kveik Ale Yeast</t>
  </si>
  <si>
    <t>OYL-011 British Ale V</t>
  </si>
  <si>
    <t>Windsor Ale Yeast British-Style Beer Yeast</t>
  </si>
  <si>
    <t>OYL-015 Scottish Ale</t>
  </si>
  <si>
    <t>Wit Wheat Ale Yeast</t>
  </si>
  <si>
    <t>OYL-016 British Ale Viii</t>
  </si>
  <si>
    <t>OYL-021 Hefeweizen Ale</t>
  </si>
  <si>
    <t>The Yeast Bay</t>
  </si>
  <si>
    <t>OYL-024 Belgian Ale A</t>
  </si>
  <si>
    <t>OYL-026 French Saison</t>
  </si>
  <si>
    <t>OYL-028 Belgian Ale W</t>
  </si>
  <si>
    <t>Vermont Ale</t>
  </si>
  <si>
    <t>OYL-030 Wit</t>
  </si>
  <si>
    <t>OYL-033 Jovaru® Lithuanian Farmhouse</t>
  </si>
  <si>
    <t>Wallonian Farmhouse</t>
  </si>
  <si>
    <t>OYL-042 Belgian Saison Ii</t>
  </si>
  <si>
    <t>Wallonian Farmhouse II</t>
  </si>
  <si>
    <t>OYL-044 Kolsch Ii</t>
  </si>
  <si>
    <t>Wallonian Farmhouse III</t>
  </si>
  <si>
    <t>OYL-052 Dipa Ale</t>
  </si>
  <si>
    <t>Saison Blend</t>
  </si>
  <si>
    <t>OYL-057 Hothead™ Ale</t>
  </si>
  <si>
    <t>Saison Blend II</t>
  </si>
  <si>
    <t>OYL-061 Voss Kveik</t>
  </si>
  <si>
    <t>OYL-071 Lutra™ Kveik</t>
  </si>
  <si>
    <t>OYL-090 Espe Kveik</t>
  </si>
  <si>
    <t>OYL-091 Hornindal Kveik</t>
  </si>
  <si>
    <t>OYL-101 Pilsner I</t>
  </si>
  <si>
    <t>OYL-106 German Lager I</t>
  </si>
  <si>
    <t>OYL-107 Oktoberfest</t>
  </si>
  <si>
    <t>OYL-111 German Bock</t>
  </si>
  <si>
    <t>Sigmund's Voss Kveik</t>
  </si>
  <si>
    <t>OYL-113 Mexican Lager</t>
  </si>
  <si>
    <t>Simonaitis Lithuanian Farmhouse</t>
  </si>
  <si>
    <t>OYL-114 Bayern Lager</t>
  </si>
  <si>
    <t>Pakruojis Lithuanian Farmhouse</t>
  </si>
  <si>
    <t>OYL-200 Tropical Ipa</t>
  </si>
  <si>
    <t>OYL-201 Brett. Claussenii</t>
  </si>
  <si>
    <t>OYL-210 Brett Blend #1 Where Da Funk?</t>
  </si>
  <si>
    <t>OYL-211 Brett Blend #2 Bit O’ Funk</t>
  </si>
  <si>
    <t>OYL-212 Brett Blend #3 Bring On Da Funk</t>
  </si>
  <si>
    <t>OYL-217 C2c American Farmhouse</t>
  </si>
  <si>
    <t>OYL-218 All The Bretts</t>
  </si>
  <si>
    <t>OYL-400 Bananza™ Ale</t>
  </si>
  <si>
    <t>OYL-401 Sundew™ Ale</t>
  </si>
  <si>
    <t>OYL-402 Cosmic Punch™</t>
  </si>
  <si>
    <t>OYL-500 Saisonstein’s Monster</t>
  </si>
  <si>
    <t>Saison/Brettanomyces Blend</t>
  </si>
  <si>
    <t>OYL-501 Gulo® Ale</t>
  </si>
  <si>
    <t>Saison/Brettanomyces Blend II</t>
  </si>
  <si>
    <t>OYL-605 Lactobacillus Blend</t>
  </si>
  <si>
    <t>S. eubayanus</t>
  </si>
  <si>
    <t>W01 Champion</t>
  </si>
  <si>
    <t>W05 Brett Drei</t>
  </si>
  <si>
    <t>W10 Lambicus</t>
  </si>
  <si>
    <t>W12 Brett Claussenii</t>
  </si>
  <si>
    <t>W13 Brux</t>
  </si>
  <si>
    <t>W15 Suburban Brett</t>
  </si>
  <si>
    <t>Style</t>
  </si>
  <si>
    <t>OG</t>
  </si>
  <si>
    <t>FG</t>
  </si>
  <si>
    <t>ABV%</t>
  </si>
  <si>
    <t>01 STANDARD AMERICAN BEER</t>
  </si>
  <si>
    <t>01 A American Light Lager</t>
  </si>
  <si>
    <t>1.028-40</t>
  </si>
  <si>
    <t>0.998-1.008</t>
  </si>
  <si>
    <t>2.8-4.2</t>
  </si>
  <si>
    <t>8-12</t>
  </si>
  <si>
    <t>2-3</t>
  </si>
  <si>
    <t>2.5-2.7</t>
  </si>
  <si>
    <t>01 B American Lager</t>
  </si>
  <si>
    <t>1.040-50</t>
  </si>
  <si>
    <t>1.004-10</t>
  </si>
  <si>
    <t>4.2-5.3</t>
  </si>
  <si>
    <t>8-18</t>
  </si>
  <si>
    <t>2-4</t>
  </si>
  <si>
    <t>2.3-2.5</t>
  </si>
  <si>
    <t>01 C Cream Ale</t>
  </si>
  <si>
    <t>1.042-55</t>
  </si>
  <si>
    <t>1.006-12</t>
  </si>
  <si>
    <t>4.2-5.6</t>
  </si>
  <si>
    <t>8-20</t>
  </si>
  <si>
    <t>2.5-5</t>
  </si>
  <si>
    <t>2.6-2.7</t>
  </si>
  <si>
    <t>01 D American Wheat Beer</t>
  </si>
  <si>
    <t>1.040-55</t>
  </si>
  <si>
    <t>1.008-13</t>
  </si>
  <si>
    <t>4.0-5.5</t>
  </si>
  <si>
    <t>15-30</t>
  </si>
  <si>
    <t>3-6</t>
  </si>
  <si>
    <t>2.3-2.6</t>
  </si>
  <si>
    <t>02 INTERNATIONAL LAGER</t>
  </si>
  <si>
    <t>10-18</t>
  </si>
  <si>
    <t>02 A International Pale Lager</t>
  </si>
  <si>
    <t>1.042-50</t>
  </si>
  <si>
    <t>1.008-12</t>
  </si>
  <si>
    <t>18-25</t>
  </si>
  <si>
    <t>2-6</t>
  </si>
  <si>
    <t>02 B International Amber Lager</t>
  </si>
  <si>
    <t>1.008-14</t>
  </si>
  <si>
    <t>8-25</t>
  </si>
  <si>
    <t>2.2-3.1</t>
  </si>
  <si>
    <t>02 C International Dark Lager</t>
  </si>
  <si>
    <t>1.044-56</t>
  </si>
  <si>
    <t>4.2-6.0</t>
  </si>
  <si>
    <t>14-22</t>
  </si>
  <si>
    <t>03 CZECH LAGER</t>
  </si>
  <si>
    <t>03 A Czech Pale Lager</t>
  </si>
  <si>
    <t>1.028-44</t>
  </si>
  <si>
    <t>3.0-4.1</t>
  </si>
  <si>
    <t>20-35</t>
  </si>
  <si>
    <t>03 B Czech Premium Pale Lager</t>
  </si>
  <si>
    <t>1.044-60</t>
  </si>
  <si>
    <t>1.013-17</t>
  </si>
  <si>
    <t>4.2-5.8</t>
  </si>
  <si>
    <t>30-45</t>
  </si>
  <si>
    <t>3.5-6</t>
  </si>
  <si>
    <t>03 C Czech Amber Lager</t>
  </si>
  <si>
    <t>4.4-5.8</t>
  </si>
  <si>
    <t>10-16</t>
  </si>
  <si>
    <t>03 D Czech Dark Lager</t>
  </si>
  <si>
    <t>18-34</t>
  </si>
  <si>
    <t>04 PALE MALTY EUROPEAN LAGER</t>
  </si>
  <si>
    <t>04 A Munich Helles</t>
  </si>
  <si>
    <t>1.044-48</t>
  </si>
  <si>
    <t>4.7-5.4</t>
  </si>
  <si>
    <t>16-22</t>
  </si>
  <si>
    <t>3-5</t>
  </si>
  <si>
    <t>2.3-2.7</t>
  </si>
  <si>
    <t>04 B Festbier</t>
  </si>
  <si>
    <t>1.054-57</t>
  </si>
  <si>
    <t>1.010-12</t>
  </si>
  <si>
    <t>5.8-6.3</t>
  </si>
  <si>
    <t>4-7</t>
  </si>
  <si>
    <t>04 C Helles Bock</t>
  </si>
  <si>
    <t>1.064-72</t>
  </si>
  <si>
    <t>1.011-18</t>
  </si>
  <si>
    <t>6.3-7.4</t>
  </si>
  <si>
    <t>23-35</t>
  </si>
  <si>
    <t>2.2-2.7</t>
  </si>
  <si>
    <t>05 PALE BITTER EUROPEAN BEER</t>
  </si>
  <si>
    <t>05 A German Leichtbier</t>
  </si>
  <si>
    <t>1.026-34</t>
  </si>
  <si>
    <t>1.006-10</t>
  </si>
  <si>
    <t>2.4-3.6</t>
  </si>
  <si>
    <t>15-28</t>
  </si>
  <si>
    <t>2-5</t>
  </si>
  <si>
    <t>2.4-2.7</t>
  </si>
  <si>
    <t>05 B Kölsch</t>
  </si>
  <si>
    <t>1.044-50</t>
  </si>
  <si>
    <t>1.007-11</t>
  </si>
  <si>
    <t>4.4-5.2</t>
  </si>
  <si>
    <t>18-30</t>
  </si>
  <si>
    <t>3.5-5</t>
  </si>
  <si>
    <t>05 C German Helles Exportbier</t>
  </si>
  <si>
    <t>1.048-56</t>
  </si>
  <si>
    <t>1.010-15</t>
  </si>
  <si>
    <t>4.8-6.0</t>
  </si>
  <si>
    <t>20-30</t>
  </si>
  <si>
    <t>2.6</t>
  </si>
  <si>
    <t>05 D German Pils</t>
  </si>
  <si>
    <t>22-40</t>
  </si>
  <si>
    <t>2.5</t>
  </si>
  <si>
    <t>06 AMBER MALTY EUROPEAN LAGER</t>
  </si>
  <si>
    <t>06 A Märzen</t>
  </si>
  <si>
    <t>1.054-60</t>
  </si>
  <si>
    <t>1.010-14</t>
  </si>
  <si>
    <t>18-24</t>
  </si>
  <si>
    <t>8-17</t>
  </si>
  <si>
    <t>06 B Rauchbier</t>
  </si>
  <si>
    <t>1.050-57</t>
  </si>
  <si>
    <t>1.012-16</t>
  </si>
  <si>
    <t>12-22</t>
  </si>
  <si>
    <t>2.2-2.6</t>
  </si>
  <si>
    <t>06 C Dunkles Bock</t>
  </si>
  <si>
    <t>1.013-19</t>
  </si>
  <si>
    <t>6.3-7.2</t>
  </si>
  <si>
    <t>20-27</t>
  </si>
  <si>
    <t>07 AMBER BITTER EUROPEAN BEER</t>
  </si>
  <si>
    <t>07 A Vienna Lager</t>
  </si>
  <si>
    <t>1.048-55</t>
  </si>
  <si>
    <t>4.7-5.5</t>
  </si>
  <si>
    <t>9-15</t>
  </si>
  <si>
    <t>2.4-2.6</t>
  </si>
  <si>
    <t>07 B Altbier</t>
  </si>
  <si>
    <t>1.044-52</t>
  </si>
  <si>
    <t>4.3-5.5</t>
  </si>
  <si>
    <t>25-50</t>
  </si>
  <si>
    <t>11-17</t>
  </si>
  <si>
    <t>1.048-54</t>
  </si>
  <si>
    <t>25-40</t>
  </si>
  <si>
    <t>3-7</t>
  </si>
  <si>
    <t>08 DARK EUROPEAN LAGER</t>
  </si>
  <si>
    <t>08 A Munich Dunkel</t>
  </si>
  <si>
    <t>1.010-16</t>
  </si>
  <si>
    <t>4.5-5.6</t>
  </si>
  <si>
    <t>18-28</t>
  </si>
  <si>
    <t>08 B Schwarzbier</t>
  </si>
  <si>
    <t>1.046-52</t>
  </si>
  <si>
    <t>4.4-5.4</t>
  </si>
  <si>
    <t>17-30</t>
  </si>
  <si>
    <t>09 STRONG EUROPEAN BEER</t>
  </si>
  <si>
    <t>09 A Doppelbock</t>
  </si>
  <si>
    <t>1.072-112</t>
  </si>
  <si>
    <t>1.016-24</t>
  </si>
  <si>
    <t>7.0-10.0</t>
  </si>
  <si>
    <t>16-26</t>
  </si>
  <si>
    <t>6-25</t>
  </si>
  <si>
    <t>09 B Eisbock</t>
  </si>
  <si>
    <t>1.078-120</t>
  </si>
  <si>
    <t>1.020-35</t>
  </si>
  <si>
    <t>9.0-14.0</t>
  </si>
  <si>
    <t>25-35</t>
  </si>
  <si>
    <t>2.4</t>
  </si>
  <si>
    <t>09 C Baltic Porter</t>
  </si>
  <si>
    <t>1.060-90</t>
  </si>
  <si>
    <t>5.5-9.5</t>
  </si>
  <si>
    <t>20-40</t>
  </si>
  <si>
    <t>1.7-2.5</t>
  </si>
  <si>
    <t>10 GERMAN WHEAT BEER</t>
  </si>
  <si>
    <t>10 A Weissbier</t>
  </si>
  <si>
    <t>4.3-5.6</t>
  </si>
  <si>
    <t>8-15</t>
  </si>
  <si>
    <t>3.6-4.5</t>
  </si>
  <si>
    <t>10 B Dunkles Weissbier</t>
  </si>
  <si>
    <t>14-23</t>
  </si>
  <si>
    <t>10 C Weizenbock</t>
  </si>
  <si>
    <t>1.064-90</t>
  </si>
  <si>
    <t>1.015-22</t>
  </si>
  <si>
    <t>6.5-9.0</t>
  </si>
  <si>
    <t>3.7-4.7</t>
  </si>
  <si>
    <t>11 BRITISH BITTER</t>
  </si>
  <si>
    <t>11 A Ordinary Bitter</t>
  </si>
  <si>
    <t>1.030-39</t>
  </si>
  <si>
    <t>3.2-3.8</t>
  </si>
  <si>
    <t>8-14</t>
  </si>
  <si>
    <t>0.8-1.3</t>
  </si>
  <si>
    <t>11 B Best Bitter</t>
  </si>
  <si>
    <t>1.040-48</t>
  </si>
  <si>
    <t>3.8-4.6</t>
  </si>
  <si>
    <t>8-16</t>
  </si>
  <si>
    <t>11 C Strong Bitter</t>
  </si>
  <si>
    <t>1.048-60</t>
  </si>
  <si>
    <t>4.6-6.2</t>
  </si>
  <si>
    <t>30-50</t>
  </si>
  <si>
    <t>6-18</t>
  </si>
  <si>
    <t>12 PALE COMMONWEALTH BEER</t>
  </si>
  <si>
    <t>12 A British Golden Ale</t>
  </si>
  <si>
    <t>1.038-53</t>
  </si>
  <si>
    <t>3.8-5.0</t>
  </si>
  <si>
    <t>20-45</t>
  </si>
  <si>
    <t>12 B Australian Sparkling Ale</t>
  </si>
  <si>
    <t>1.038-50</t>
  </si>
  <si>
    <t>1.004-06</t>
  </si>
  <si>
    <t>4.5-6.0</t>
  </si>
  <si>
    <t>12 C English IPA</t>
  </si>
  <si>
    <t>1.050-75</t>
  </si>
  <si>
    <t>1.010-18</t>
  </si>
  <si>
    <t>5.0-7.5</t>
  </si>
  <si>
    <t>40-60</t>
  </si>
  <si>
    <t>6-14</t>
  </si>
  <si>
    <t>1.5-2.3</t>
  </si>
  <si>
    <t>13 BROWN BRITISH BEER</t>
  </si>
  <si>
    <t>13 A Dark Mild</t>
  </si>
  <si>
    <t>1.030-38</t>
  </si>
  <si>
    <t>3.0-3.8</t>
  </si>
  <si>
    <t>10-25</t>
  </si>
  <si>
    <t>1.3-2.0</t>
  </si>
  <si>
    <t>13 B British Brown Ale</t>
  </si>
  <si>
    <t>1.040-52</t>
  </si>
  <si>
    <t>13 C English Porter</t>
  </si>
  <si>
    <t>4.0-5.4</t>
  </si>
  <si>
    <t>18-35</t>
  </si>
  <si>
    <t>14 SCOTTISH ALE</t>
  </si>
  <si>
    <t>14 A Scottish Light</t>
  </si>
  <si>
    <t>1.030-35</t>
  </si>
  <si>
    <t>1.010-13</t>
  </si>
  <si>
    <t>10-20</t>
  </si>
  <si>
    <t>17-22</t>
  </si>
  <si>
    <t>14 B Scottish Heavy</t>
  </si>
  <si>
    <t>1.035-40</t>
  </si>
  <si>
    <t>14 C Scottish Export</t>
  </si>
  <si>
    <t>1.040-60</t>
  </si>
  <si>
    <t>3.9-6.0</t>
  </si>
  <si>
    <t>15 IRISH BEER</t>
  </si>
  <si>
    <t>15 A Irish Red Ale</t>
  </si>
  <si>
    <t>1.036-46</t>
  </si>
  <si>
    <t>9-14</t>
  </si>
  <si>
    <t>15 B Irish Stout</t>
  </si>
  <si>
    <t>1.036-44</t>
  </si>
  <si>
    <t>25-45</t>
  </si>
  <si>
    <t>1.6-2.0</t>
  </si>
  <si>
    <t>15 C Irish Extra Stout</t>
  </si>
  <si>
    <t>1.052-62</t>
  </si>
  <si>
    <t>35-50</t>
  </si>
  <si>
    <t>2.0-2.4</t>
  </si>
  <si>
    <t>16 DARK BRITISH BEER</t>
  </si>
  <si>
    <t>16 A Sweet Stout</t>
  </si>
  <si>
    <t>1.012-24</t>
  </si>
  <si>
    <t>4.0-6.0</t>
  </si>
  <si>
    <t>30-40</t>
  </si>
  <si>
    <t>16 B Oatmeal Stout</t>
  </si>
  <si>
    <t>1.045-65</t>
  </si>
  <si>
    <t>4.2-5.9</t>
  </si>
  <si>
    <t>16 C Tropical Stout</t>
  </si>
  <si>
    <t>1.056-75</t>
  </si>
  <si>
    <t>5.5-8.0</t>
  </si>
  <si>
    <t>16 D Foreign Extra Stout</t>
  </si>
  <si>
    <t>6.3-8.0</t>
  </si>
  <si>
    <t>50-70</t>
  </si>
  <si>
    <t>17 STRONG BRITISH ALE</t>
  </si>
  <si>
    <t>17 A British Strong Ale</t>
  </si>
  <si>
    <t>1.055-80</t>
  </si>
  <si>
    <t>30-60</t>
  </si>
  <si>
    <t>8-22</t>
  </si>
  <si>
    <t>17 B Old Ale</t>
  </si>
  <si>
    <t>1.055-88</t>
  </si>
  <si>
    <t>5.5-9.0</t>
  </si>
  <si>
    <t>10-22</t>
  </si>
  <si>
    <t>17 C Wee Heavy</t>
  </si>
  <si>
    <t>1.070-130</t>
  </si>
  <si>
    <t>1.018-40</t>
  </si>
  <si>
    <t>6.5-10.0</t>
  </si>
  <si>
    <t>17-35</t>
  </si>
  <si>
    <t>14-25</t>
  </si>
  <si>
    <t>1.080-120</t>
  </si>
  <si>
    <t>1.018-30</t>
  </si>
  <si>
    <t>8.0-12.0</t>
  </si>
  <si>
    <t>35-70</t>
  </si>
  <si>
    <t>1.3-2.3</t>
  </si>
  <si>
    <t>18 PALE AMERICAN ALE</t>
  </si>
  <si>
    <t>18 A Blonde Ale</t>
  </si>
  <si>
    <t>1.038-54</t>
  </si>
  <si>
    <t>3.8-5.5</t>
  </si>
  <si>
    <t>18 B American Pale Ale</t>
  </si>
  <si>
    <t>1.045-60</t>
  </si>
  <si>
    <t>4.5-6.2</t>
  </si>
  <si>
    <t>5-10</t>
  </si>
  <si>
    <t>2.2-2.8</t>
  </si>
  <si>
    <t>19 AMBER AND BROWN AMERICAN BEER</t>
  </si>
  <si>
    <t>19 A American Amber Ale</t>
  </si>
  <si>
    <t>10-17</t>
  </si>
  <si>
    <t>19 B California Common</t>
  </si>
  <si>
    <t>1.011-14</t>
  </si>
  <si>
    <t>4.5-5.5</t>
  </si>
  <si>
    <t>2.4-2.8</t>
  </si>
  <si>
    <t>19 C American Brown Ale</t>
  </si>
  <si>
    <t>4.3-6.2</t>
  </si>
  <si>
    <t>1.5-2.5</t>
  </si>
  <si>
    <t>20 AMERICAN PORTER AND STOUT</t>
  </si>
  <si>
    <t>20 A American Porter</t>
  </si>
  <si>
    <t>1.050-70</t>
  </si>
  <si>
    <t>1.012-18</t>
  </si>
  <si>
    <t>4.8-6.5</t>
  </si>
  <si>
    <t>20 B American Stout</t>
  </si>
  <si>
    <t>1.010-22</t>
  </si>
  <si>
    <t>5.0-7.0</t>
  </si>
  <si>
    <t>35-75</t>
  </si>
  <si>
    <t>20 C Imperial Stout</t>
  </si>
  <si>
    <t>1.075-115</t>
  </si>
  <si>
    <t>50-90</t>
  </si>
  <si>
    <t>21 IPA</t>
  </si>
  <si>
    <t>21 A American IPA</t>
  </si>
  <si>
    <t>1.056-70</t>
  </si>
  <si>
    <t>5.5-7.5</t>
  </si>
  <si>
    <t>40-70</t>
  </si>
  <si>
    <t xml:space="preserve">21 B Specialty IPA </t>
  </si>
  <si>
    <t>21 B Specialty IPA: Belgian IPA</t>
  </si>
  <si>
    <t>1.058-80</t>
  </si>
  <si>
    <t>1.008-16</t>
  </si>
  <si>
    <t>6.2-9.5</t>
  </si>
  <si>
    <t>50-100</t>
  </si>
  <si>
    <t>21 B Specialty IPA: Black IPA</t>
  </si>
  <si>
    <t>1.050-85</t>
  </si>
  <si>
    <t>21 B Specialty IPA: Red IPA</t>
  </si>
  <si>
    <t>21 B Specialty IPA: Rye IPA</t>
  </si>
  <si>
    <t>50-75</t>
  </si>
  <si>
    <t>21 B Specialty IPA: White IPA</t>
  </si>
  <si>
    <t>1.056-65</t>
  </si>
  <si>
    <t>5.5-7.0</t>
  </si>
  <si>
    <t>5-8</t>
  </si>
  <si>
    <t>22 STRONG AMERICAN ALE</t>
  </si>
  <si>
    <t>22 A Double IPA</t>
  </si>
  <si>
    <t>1.065-85</t>
  </si>
  <si>
    <t>1.008-18</t>
  </si>
  <si>
    <t>7.5-10.0</t>
  </si>
  <si>
    <t>22 B American Strong Ale</t>
  </si>
  <si>
    <t>1.062-90</t>
  </si>
  <si>
    <t>1.014-24</t>
  </si>
  <si>
    <t>6.3-10.0</t>
  </si>
  <si>
    <t>22 C American Barleywine</t>
  </si>
  <si>
    <t>1.016-30</t>
  </si>
  <si>
    <t>22 D Wheatwine</t>
  </si>
  <si>
    <t>23 EUROPEAN SOUR ALE</t>
  </si>
  <si>
    <t>23 A Berliner Weisse</t>
  </si>
  <si>
    <t>1.028-32</t>
  </si>
  <si>
    <t>1.003-06</t>
  </si>
  <si>
    <t>2.8-3.6</t>
  </si>
  <si>
    <t>3-8</t>
  </si>
  <si>
    <t>3.5</t>
  </si>
  <si>
    <t>23 B Flanders Red Ale</t>
  </si>
  <si>
    <t>1.048-57</t>
  </si>
  <si>
    <t>1.002-12</t>
  </si>
  <si>
    <t>4.6-6.5</t>
  </si>
  <si>
    <t>1.9-2.5</t>
  </si>
  <si>
    <t>23 C Oud Bruin</t>
  </si>
  <si>
    <t>1.040-74</t>
  </si>
  <si>
    <t>4.0-8.0</t>
  </si>
  <si>
    <t>20-25</t>
  </si>
  <si>
    <t>15-22</t>
  </si>
  <si>
    <t>23 D Lambic</t>
  </si>
  <si>
    <t>1.040-54</t>
  </si>
  <si>
    <t>1.001-10</t>
  </si>
  <si>
    <t>5.0-6.5</t>
  </si>
  <si>
    <t>0-10</t>
  </si>
  <si>
    <t>3.0-4.5</t>
  </si>
  <si>
    <t>23 E Gueuze</t>
  </si>
  <si>
    <t>1.000-06</t>
  </si>
  <si>
    <t>5.0-8.0</t>
  </si>
  <si>
    <t>23 F Fruit Lambic</t>
  </si>
  <si>
    <t>1.000-10</t>
  </si>
  <si>
    <t>2.6-4.5</t>
  </si>
  <si>
    <t>24 BELGIAN ALE</t>
  </si>
  <si>
    <t>24 A Witbier</t>
  </si>
  <si>
    <t>2.1-2.6</t>
  </si>
  <si>
    <t>24 B Belgian Pale Ale</t>
  </si>
  <si>
    <t>4.8-5.5</t>
  </si>
  <si>
    <t>24 C Bière de Garde</t>
  </si>
  <si>
    <t>1.060-80</t>
  </si>
  <si>
    <t>6.0-8.5</t>
  </si>
  <si>
    <t>6-19</t>
  </si>
  <si>
    <t>25 STRONG BELGIAN ALE</t>
  </si>
  <si>
    <t>25 A Belgian Blond Ale</t>
  </si>
  <si>
    <t>1.062-75</t>
  </si>
  <si>
    <t>6.0-7.5</t>
  </si>
  <si>
    <t>1.9-2.4</t>
  </si>
  <si>
    <t>25 B Saison</t>
  </si>
  <si>
    <t>1.048-65</t>
  </si>
  <si>
    <t>1.002-08</t>
  </si>
  <si>
    <t>3.5-9.5</t>
  </si>
  <si>
    <t>5-22</t>
  </si>
  <si>
    <t>25 C Belgian Golden Strong Ale</t>
  </si>
  <si>
    <t>1.070-95</t>
  </si>
  <si>
    <t>1.005-16</t>
  </si>
  <si>
    <t>7.5-10.5</t>
  </si>
  <si>
    <t>22-35</t>
  </si>
  <si>
    <t>1.044-54</t>
  </si>
  <si>
    <t>26 B Belgian Dubbel</t>
  </si>
  <si>
    <t>6.0-7.6</t>
  </si>
  <si>
    <t>15-25</t>
  </si>
  <si>
    <t>26 C Belgian Tripel</t>
  </si>
  <si>
    <t>1.075-85</t>
  </si>
  <si>
    <t>7.5-9.5</t>
  </si>
  <si>
    <t>4.5-7</t>
  </si>
  <si>
    <t>26 D Belgian Dark Strong Ale</t>
  </si>
  <si>
    <t>1.075-110</t>
  </si>
  <si>
    <t>1.010-24</t>
  </si>
  <si>
    <t>2.5-3.0</t>
  </si>
  <si>
    <t>27 HISTORICAL BEER</t>
  </si>
  <si>
    <t>1.036-56</t>
  </si>
  <si>
    <t>4.2-4.8</t>
  </si>
  <si>
    <t>5-12</t>
  </si>
  <si>
    <t>3-4</t>
  </si>
  <si>
    <t>27 Historical Beer: Kentucky Common</t>
  </si>
  <si>
    <t>1.044-55</t>
  </si>
  <si>
    <t>11-20</t>
  </si>
  <si>
    <t>27 Historical Beer: Lichtenhainer</t>
  </si>
  <si>
    <t>1.032-40</t>
  </si>
  <si>
    <t>1.004-08</t>
  </si>
  <si>
    <t>3.5-4.7</t>
  </si>
  <si>
    <t>27 Historical Beer: London Brown Ale</t>
  </si>
  <si>
    <t>1.033-38</t>
  </si>
  <si>
    <t>1.012-15</t>
  </si>
  <si>
    <t>15-20</t>
  </si>
  <si>
    <t>27 Historical Beer: Piwo Grodziskie</t>
  </si>
  <si>
    <t>2.5-3.3</t>
  </si>
  <si>
    <t>27 Historical Beer: Pre-Prohibition Lager</t>
  </si>
  <si>
    <t>27 Historical Beer: Pre-Prohibition Porter</t>
  </si>
  <si>
    <t>1.046-60</t>
  </si>
  <si>
    <t>27 Historical Beer: Roggenbier</t>
  </si>
  <si>
    <t>1.046-56</t>
  </si>
  <si>
    <t>14-19</t>
  </si>
  <si>
    <t>27 Historical Beer: Sahti</t>
  </si>
  <si>
    <t>1.076-120</t>
  </si>
  <si>
    <t>1.016-20</t>
  </si>
  <si>
    <t>7.0-11.0</t>
  </si>
  <si>
    <t>7-15</t>
  </si>
  <si>
    <t>4-22</t>
  </si>
  <si>
    <t>28 AMERICAN WILD ALE</t>
  </si>
  <si>
    <t>28 A Brett Beer</t>
  </si>
  <si>
    <t>varies</t>
  </si>
  <si>
    <t>28 B Mixed-Fermentation Sour Beer</t>
  </si>
  <si>
    <t>28 C Wild Specialty Beer</t>
  </si>
  <si>
    <t>29 FRUIT BEER</t>
  </si>
  <si>
    <t>29 A Fruit Beer</t>
  </si>
  <si>
    <t>29 B Fruit and Spice Beer</t>
  </si>
  <si>
    <t>29 C Specialty Fruit Beer</t>
  </si>
  <si>
    <t>30 SPICED BEER</t>
  </si>
  <si>
    <t>30 A Spice, Herb, or Vegetable Beer</t>
  </si>
  <si>
    <t>30 B Autumn Seasonal Beer</t>
  </si>
  <si>
    <t>30 C Winter Seasonal Beer</t>
  </si>
  <si>
    <t>31 ALTERNATIVE FERMENTABLES BEER</t>
  </si>
  <si>
    <t>31 A Alternative Grain Beer</t>
  </si>
  <si>
    <t>31 B Alternative Sugar Beer</t>
  </si>
  <si>
    <t>32 SMOKED BEER</t>
  </si>
  <si>
    <t>32 A Classic Style Smoked Beer</t>
  </si>
  <si>
    <t>32 B Specialty Smoked Beer</t>
  </si>
  <si>
    <t>33 WOOD BEER</t>
  </si>
  <si>
    <t>33 A Wood-Aged Beer</t>
  </si>
  <si>
    <t>33 B Specialty Wood-Aged Beer</t>
  </si>
  <si>
    <t>34 SPECIALTY BEER</t>
  </si>
  <si>
    <t>34 B Mixed-Style Beer</t>
  </si>
  <si>
    <t>34 C Experimental Beer</t>
  </si>
  <si>
    <t>APPENDIX: LOCAL STYLES</t>
  </si>
  <si>
    <t>X 1 Dorada Pampeana</t>
  </si>
  <si>
    <t>1.042-54</t>
  </si>
  <si>
    <t>1.009-13</t>
  </si>
  <si>
    <t>X 2 IPA Argenta: IPA Especialidad</t>
  </si>
  <si>
    <t>1.055-65</t>
  </si>
  <si>
    <t>1.008-15</t>
  </si>
  <si>
    <t>35-60</t>
  </si>
  <si>
    <t>6-15</t>
  </si>
  <si>
    <t>X 3 Italian Grape Ale</t>
  </si>
  <si>
    <t>1.043-90</t>
  </si>
  <si>
    <t>1.007-15</t>
  </si>
  <si>
    <t>4.8-10.0</t>
  </si>
  <si>
    <t>10-30</t>
  </si>
  <si>
    <t>5-30</t>
  </si>
  <si>
    <t>Boil Time (min):</t>
  </si>
  <si>
    <t>Mash</t>
  </si>
  <si>
    <t>Water Volumes</t>
  </si>
  <si>
    <t>Grain Temp</t>
  </si>
  <si>
    <t>Grain absorption</t>
  </si>
  <si>
    <t>1E6 cells/ml:</t>
  </si>
  <si>
    <t>Mash Vol</t>
  </si>
  <si>
    <t>Water Volume</t>
  </si>
  <si>
    <t>(gal/lb)</t>
  </si>
  <si>
    <t>(°F)</t>
  </si>
  <si>
    <t>Starter:</t>
  </si>
  <si>
    <t>Formula:</t>
  </si>
  <si>
    <t>Adjusted:</t>
  </si>
  <si>
    <t>Evaporation Rate/hr:</t>
  </si>
  <si>
    <t>Hydrometer Correction</t>
  </si>
  <si>
    <t>Wort Vol</t>
  </si>
  <si>
    <t>Final Temp</t>
  </si>
  <si>
    <t>Final Vol</t>
  </si>
  <si>
    <t>Volume Correction</t>
  </si>
  <si>
    <t>1st Runnings (Brix):</t>
  </si>
  <si>
    <t>2nd Runnings (Brix):</t>
  </si>
  <si>
    <t>Pre-boil (SG):</t>
  </si>
  <si>
    <t>Wort Temp (°F)</t>
  </si>
  <si>
    <t>Color:</t>
  </si>
  <si>
    <t>Bittering:</t>
  </si>
  <si>
    <t>Preferences</t>
  </si>
  <si>
    <t>MCU</t>
  </si>
  <si>
    <t>Bairds Malt Distilling Malt</t>
  </si>
  <si>
    <t>Bairds Malt Maris Otter Blend Malt</t>
  </si>
  <si>
    <t>Bairds Malt Maris Otter Low Colour Malt</t>
  </si>
  <si>
    <t>Bairds Malt Maris Otter Pale Ale Malt</t>
  </si>
  <si>
    <t>Bairds Malt Pale Ale Low Colour Malt</t>
  </si>
  <si>
    <t>Bairds Malt Pale Ale Malt</t>
  </si>
  <si>
    <t>Bairds Malt Pilsen /Lager Malt</t>
  </si>
  <si>
    <t>Bairds Malt Scottish Ale Malt</t>
  </si>
  <si>
    <t>Best Malz Heidelberg</t>
  </si>
  <si>
    <t>Best Malz Pale Ale</t>
  </si>
  <si>
    <t>Best Malz Pilsen Malt</t>
  </si>
  <si>
    <t>Briess Ashburne® Mild Malt</t>
  </si>
  <si>
    <t>Briess Brewers Malt</t>
  </si>
  <si>
    <t>Briess Full Pint</t>
  </si>
  <si>
    <t>Briess Pale Ale Malt</t>
  </si>
  <si>
    <t>Briess Pilsen Malt</t>
  </si>
  <si>
    <t>Briess Synergy Select Pilsen Malt</t>
  </si>
  <si>
    <t>Briess Synergy Select Pilsen MaltGems</t>
  </si>
  <si>
    <t>Canada Malting Co. CMC 2-Row Malt</t>
  </si>
  <si>
    <t>Canada Malting Co. CMC 6-Row Malt</t>
  </si>
  <si>
    <t>Canada Malting Co. Superior Pilsen Malt</t>
  </si>
  <si>
    <t>Canada Malting Co. Superior Pale Ale Malt</t>
  </si>
  <si>
    <t>Canada Malting Co. Heritage Select Malt</t>
  </si>
  <si>
    <t>Canada Malting Co. Bow Valley Select Malt</t>
  </si>
  <si>
    <t>Canada Malting Co. Ontario Select Malt</t>
  </si>
  <si>
    <t>Canada Malting Co. Maritime Malt</t>
  </si>
  <si>
    <t>Canada Malting Co. Québécoise Malt</t>
  </si>
  <si>
    <t>Canada Malting Co. New Englander Malt</t>
  </si>
  <si>
    <t>Castle Malting Château Diastatic</t>
  </si>
  <si>
    <t>Castle Malting Château Distilling</t>
  </si>
  <si>
    <t>Castle Malting Château Pale Ale</t>
  </si>
  <si>
    <t>Castle Malting Château Pilsen 2RS</t>
  </si>
  <si>
    <t>Castle Malting Château Pilsen 6RW</t>
  </si>
  <si>
    <t>Castle Malting Château Whisky Light</t>
  </si>
  <si>
    <t>Castle Malting Château Whisky</t>
  </si>
  <si>
    <t>Crisp Malting Group Best Ale Malt</t>
  </si>
  <si>
    <t>Crisp Malting Group Chevallier Heritage Malt</t>
  </si>
  <si>
    <t>Crisp Malting Group Clear Choice Malt Extra Pale</t>
  </si>
  <si>
    <t>Crisp Malting Group Clear Choice Malt</t>
  </si>
  <si>
    <t>Crisp Malting Group Europils Malt</t>
  </si>
  <si>
    <t>Crisp Malting Group Extra Pale Malt</t>
  </si>
  <si>
    <t>Crisp Malting Group Extra Pale Maris Otter</t>
  </si>
  <si>
    <t>Crisp Malting Group Finest Maris Otter</t>
  </si>
  <si>
    <t>Crisp Malting Group Geran Pilsen Malt</t>
  </si>
  <si>
    <t>Crisp Malting Group No. 19 Floor-Malted Maris Otter</t>
  </si>
  <si>
    <t>Crisp Malting Group Organic Ale Malt</t>
  </si>
  <si>
    <t>Crisp Malting Group Organic Extra Pale</t>
  </si>
  <si>
    <t>Gambrinus Malting Corporation ESB Pale Malt</t>
  </si>
  <si>
    <t>Gambrinus Malting Corporation Pale Malt</t>
  </si>
  <si>
    <t>Gambrinus Malting Corporation Pilsner Malt</t>
  </si>
  <si>
    <t>Great Western Malting Pale High Color</t>
  </si>
  <si>
    <t>Great Western Malting Premium Two Row</t>
  </si>
  <si>
    <t>Great Western Malting Superior Pilsen</t>
  </si>
  <si>
    <t>Great Western Malting Pure California Malt</t>
  </si>
  <si>
    <t>Great Western Malting Pure Idaho Malt</t>
  </si>
  <si>
    <t>Great Western Malting Pure Oregon Malt</t>
  </si>
  <si>
    <t>Great Western Malting Pure Washington Malt</t>
  </si>
  <si>
    <t>Malteries Franco-Belges Malt Pale Ale</t>
  </si>
  <si>
    <t>Malteries Franco-Belges Malt Pilsen 2RP</t>
  </si>
  <si>
    <t>Malteries Franco-Belges Malt Pilsen 6RH</t>
  </si>
  <si>
    <t>Malting Company of Ireland MCI Irish Ale Malt</t>
  </si>
  <si>
    <t>Malting Company of Ireland MCI Irish Distillers Malt</t>
  </si>
  <si>
    <t>Malting Company of Ireland MCI Irish Stout Malt</t>
  </si>
  <si>
    <t>Mouterij Dingemans Pale ale 9</t>
  </si>
  <si>
    <t>Mouterij Dingemans Pilsen</t>
  </si>
  <si>
    <t>Muntons Blend Maris Otter/Propino 50:50</t>
  </si>
  <si>
    <t>Muntons Maris Otter</t>
  </si>
  <si>
    <t>Muntons Pilsner Malt</t>
  </si>
  <si>
    <t>Muntons Propino Extra Pale</t>
  </si>
  <si>
    <t>Muntons Propino Pale</t>
  </si>
  <si>
    <t>Muntons Super Pale</t>
  </si>
  <si>
    <t>Muntons Venture Extra Pale</t>
  </si>
  <si>
    <t>Muntons Venture Pale</t>
  </si>
  <si>
    <t>Muntons Whole Ex Pale / Maris Otter Blend</t>
  </si>
  <si>
    <t>Muntons Whole Ex Pale / Spring Blend</t>
  </si>
  <si>
    <t>Muntons Whole Lager Malt</t>
  </si>
  <si>
    <t>Muntons Whole Mild Malt</t>
  </si>
  <si>
    <t>Muntons Whole Pale - Flagon Blend</t>
  </si>
  <si>
    <t>Muntons Whole Pale - Tipple Blend</t>
  </si>
  <si>
    <t>Muntons Whole Pale / Pearl Blend</t>
  </si>
  <si>
    <t>Muntons Whole Pale Maris Otter Blend</t>
  </si>
  <si>
    <t>Patagonia Malt Extra Pale Malt</t>
  </si>
  <si>
    <t>Patagonia Malt Pale Ale Malt</t>
  </si>
  <si>
    <t>Patagonia Malt Pilsen Malt</t>
  </si>
  <si>
    <t>Rahr High DP Distillers Malt</t>
  </si>
  <si>
    <t>Rahr Old World Pilsner</t>
  </si>
  <si>
    <t>Rahr Pale Ale</t>
  </si>
  <si>
    <t>Rahr Premium Pilsner</t>
  </si>
  <si>
    <t>Rahr Standard 2-row</t>
  </si>
  <si>
    <t>Rahr Standard 6-row</t>
  </si>
  <si>
    <t>Schill Malz Cologne (Kölsch) Malt</t>
  </si>
  <si>
    <t>Schill Malz Pilsner</t>
  </si>
  <si>
    <t>Simpson Malt Best Pale Ale Malt</t>
  </si>
  <si>
    <t>Simpson Malt Distilling Malt</t>
  </si>
  <si>
    <t>Simpson Malt Extra Pale Ale Malt</t>
  </si>
  <si>
    <t>Simpson Malt Finest Distilling Golden Promise</t>
  </si>
  <si>
    <t>Simpson Malt Finest Lager Malt</t>
  </si>
  <si>
    <t>Simpson Malt Finest Pale Ale Golden Promise</t>
  </si>
  <si>
    <t>Simpson Malt Finest Pale Ale Maris Otter</t>
  </si>
  <si>
    <t>Simpson Malt Hi DP</t>
  </si>
  <si>
    <t>Simpson Malt Low Color Maris Otter</t>
  </si>
  <si>
    <t>Thomas Fawcett &amp; Sons Ltd Golden Promise Pale Ale Malt</t>
  </si>
  <si>
    <t>Thomas Fawcett &amp; Sons Ltd Halcyon Pale Ale Malt</t>
  </si>
  <si>
    <t>Thomas Fawcett &amp; Sons Ltd Lager Malt</t>
  </si>
  <si>
    <t>Thomas Fawcett &amp; Sons Ltd Maris Otter Low Colour Malt</t>
  </si>
  <si>
    <t>Thomas Fawcett &amp; Sons Ltd Maris Otter Pale Ale Malt</t>
  </si>
  <si>
    <t>Thomas Fawcett &amp; Sons Ltd Mild Ale Malt</t>
  </si>
  <si>
    <t>Thomas Fawcett &amp; Sons Ltd Pearl Pale Ale</t>
  </si>
  <si>
    <t>Thomas Fawcett &amp; Sons Ltd Spring Barley Pale Ale Malt</t>
  </si>
  <si>
    <t>Thomas Fawcett &amp; Sons Ltd Winter Barley Pale Ale Malt</t>
  </si>
  <si>
    <t>Viking Pilsner Zero Malt</t>
  </si>
  <si>
    <t>Viking Pale Ale Malt</t>
  </si>
  <si>
    <t>Viking Pilsner Malt</t>
  </si>
  <si>
    <t>Weyermann Barke® Pilsner Malt</t>
  </si>
  <si>
    <t>Weyermann Bohemian Pilsner Malt</t>
  </si>
  <si>
    <t>Weyermann Distillers Barley Malt</t>
  </si>
  <si>
    <t>Weyermann Extra Pale Premium Pilsner Malt</t>
  </si>
  <si>
    <t>Weyermann Pale Ale Malt</t>
  </si>
  <si>
    <t>Weyermann Pilsner Malt</t>
  </si>
  <si>
    <t>Bairds Malt Vienna Malt</t>
  </si>
  <si>
    <t>Best Malz Vienna</t>
  </si>
  <si>
    <t>Briess Goldpils Vienna</t>
  </si>
  <si>
    <t>Castle Malting Château Vienna</t>
  </si>
  <si>
    <t>Crisp Malting Group Light Munich Malt</t>
  </si>
  <si>
    <t>Gambrinus Malting Corporation Vienna Malt</t>
  </si>
  <si>
    <t>Great Western Malting Vienna Malt</t>
  </si>
  <si>
    <t>Malteries Franco-Belges Malt Vienna 6RH</t>
  </si>
  <si>
    <t>Patagonia Malt Vienna Malt</t>
  </si>
  <si>
    <t>Schill Malz Vienna</t>
  </si>
  <si>
    <t>Simpson Malt Vienna Malt</t>
  </si>
  <si>
    <t>Thomas Fawcett &amp; Sons Ltd Vienna Malt</t>
  </si>
  <si>
    <t>Viking Vienna Malt</t>
  </si>
  <si>
    <t>Weyermann Barke Vienna Malt</t>
  </si>
  <si>
    <t>Weyermann Vienna Malt</t>
  </si>
  <si>
    <t>Bairds Malt Munich Malt</t>
  </si>
  <si>
    <t>Best Malz Munich Dark</t>
  </si>
  <si>
    <t>Best Malz Munich</t>
  </si>
  <si>
    <t>Briess Aromatic Munich Malt</t>
  </si>
  <si>
    <t>Briess Bonlander Munich Malt</t>
  </si>
  <si>
    <t>Briess Dark Munich Malt</t>
  </si>
  <si>
    <t>Canada Malting Co. Munich Malt</t>
  </si>
  <si>
    <t>Castle Malting Château Munich Light</t>
  </si>
  <si>
    <t>Castle Malting Château Munich</t>
  </si>
  <si>
    <t>Castle Malting Château Wheat Munich Light</t>
  </si>
  <si>
    <t>Castle Malting Château Wheat Munich</t>
  </si>
  <si>
    <t>Crisp Malting Group Dark Munich Malt</t>
  </si>
  <si>
    <t>Gambrinus Malting Corporation Munich Dark</t>
  </si>
  <si>
    <t>Gambrinus Malting Corporation Munich Light</t>
  </si>
  <si>
    <t>Great Western Malting Munich Malt</t>
  </si>
  <si>
    <t>Great Western Malting Light Munich</t>
  </si>
  <si>
    <t>Great Western Malting Dark Munich</t>
  </si>
  <si>
    <t>Malteries Franco-Belges Malt Munich 15 6RH</t>
  </si>
  <si>
    <t>Malteries Franco-Belges Malt Munich 25 6RH</t>
  </si>
  <si>
    <t>Mouterij Dingemans Munich 15</t>
  </si>
  <si>
    <t>Muntons Munich Malt</t>
  </si>
  <si>
    <t>Patagonia Malt Munich Malt</t>
  </si>
  <si>
    <t>Schill Malz Munich Dark</t>
  </si>
  <si>
    <t>Schill Malz Munich Light</t>
  </si>
  <si>
    <t>Simpson Malt Munich Malt</t>
  </si>
  <si>
    <t>Thomas Fawcett &amp; Sons Ltd Munich Malt</t>
  </si>
  <si>
    <t>Viking Munich Light Malt</t>
  </si>
  <si>
    <t>Viking Munich Dark Malt</t>
  </si>
  <si>
    <t>Weyermann Munich Malt Type 1</t>
  </si>
  <si>
    <t>Weyermann Munich Malt Type 2</t>
  </si>
  <si>
    <t>Best Malz Heidelberg Wheat Malt</t>
  </si>
  <si>
    <t>Best Malz Wheat Malt</t>
  </si>
  <si>
    <t>Best Malz Wheat Malt Dark</t>
  </si>
  <si>
    <t>Briess Wheat Malt</t>
  </si>
  <si>
    <t>Canada Malting Co. Red Wheat Malt</t>
  </si>
  <si>
    <t>Canada Malting Co. White Wheat Malt</t>
  </si>
  <si>
    <t>Castle Malting Château Wheat Blanc</t>
  </si>
  <si>
    <t>Crisp Malting Group Wheat Malt</t>
  </si>
  <si>
    <t>Gambrinus Malting Corporation Wheat Malt</t>
  </si>
  <si>
    <t>Great Western Malting White Wheat Malt</t>
  </si>
  <si>
    <t>Great Western Malting Wheat Unmalted</t>
  </si>
  <si>
    <t>Malteries Franco-Belges Wheat Malt</t>
  </si>
  <si>
    <t>Mouterij Dingemans Wheat</t>
  </si>
  <si>
    <t>Muntons Malt 600 Brewing Wheat</t>
  </si>
  <si>
    <t>Patagonia Malt Wheat Malt</t>
  </si>
  <si>
    <t>Rahr Red Wheat</t>
  </si>
  <si>
    <t>Rahr White Wheat</t>
  </si>
  <si>
    <t>Rahr Unmalted Wheat</t>
  </si>
  <si>
    <t>Schill Malz Wheat Malt</t>
  </si>
  <si>
    <t>Simpson Malt Wheat Malt</t>
  </si>
  <si>
    <t>Thomas Fawcett &amp; Sons Ltd Wheat Malt</t>
  </si>
  <si>
    <t>Viking Wheat Malt</t>
  </si>
  <si>
    <t>Weyermann Pale Wheat Malt</t>
  </si>
  <si>
    <t>Weyermann Dark Wheat Malt</t>
  </si>
  <si>
    <t>Weyermann Distillers Wheat Malt</t>
  </si>
  <si>
    <t>Briess Rye Malt</t>
  </si>
  <si>
    <t>Canada Malting Co. Century Rye Malt</t>
  </si>
  <si>
    <t>Castle Malting Château Rye</t>
  </si>
  <si>
    <t>Crisp Malting Group Rye Malt</t>
  </si>
  <si>
    <t>Malteries Franco-Belges Rye Malt</t>
  </si>
  <si>
    <t>Mouterij Dingemans Rye</t>
  </si>
  <si>
    <t>Simpson Malt Malted Rye</t>
  </si>
  <si>
    <t>Thomas Fawcett &amp; Sons Ltd Rye Malt</t>
  </si>
  <si>
    <t>Viking Rye Malt</t>
  </si>
  <si>
    <t>Weyermann Rye Malt</t>
  </si>
  <si>
    <t>Briess Blonde Roast Oat™ Malt</t>
  </si>
  <si>
    <t>Canada Malting Co. Oat Malt</t>
  </si>
  <si>
    <t>Castle Malting Château Oat</t>
  </si>
  <si>
    <t>Crisp Malting Group Naked Oat Malt</t>
  </si>
  <si>
    <t>Malteries Franco-Belges Oatmeal</t>
  </si>
  <si>
    <t>Simpson Malt Golden Naked Oats</t>
  </si>
  <si>
    <t>Simpson Malt Malted Oats</t>
  </si>
  <si>
    <t>Thomas Fawcett &amp; Sons Ltd Oat Malt</t>
  </si>
  <si>
    <t>Viking Oat Malt</t>
  </si>
  <si>
    <t>Best Malz Spelt Malt</t>
  </si>
  <si>
    <t>Castle Malting Château Buckwheat</t>
  </si>
  <si>
    <t>Castle Malting Château Spelt</t>
  </si>
  <si>
    <t>Weyermann Spelt Malt</t>
  </si>
  <si>
    <t>Bairds Malt Light Carastan</t>
  </si>
  <si>
    <t>Bairds Malt Medium Carastan</t>
  </si>
  <si>
    <t>Bairds Malt Carastan</t>
  </si>
  <si>
    <t>Bairds Malt Dark Carastan</t>
  </si>
  <si>
    <t>Bairds Malt Light Crystal Malt</t>
  </si>
  <si>
    <t>Bairds Malt Medium Crystal Malt</t>
  </si>
  <si>
    <t>Bairds Malt Maris Otter Crystal Malt</t>
  </si>
  <si>
    <t>Bairds Malt Greenwich Crystal Malt</t>
  </si>
  <si>
    <t>Bairds Malt Dark Crystal Malt</t>
  </si>
  <si>
    <t>Bairds Malt Very Dark Crystal Malt</t>
  </si>
  <si>
    <t>Best Malz Caramel Pils</t>
  </si>
  <si>
    <t>Best Malz Caramel Hell</t>
  </si>
  <si>
    <t>Best Malz Caramel Aromatic</t>
  </si>
  <si>
    <t>Best Malz Caramel Amber</t>
  </si>
  <si>
    <t>Best Malz Caramel Munich I</t>
  </si>
  <si>
    <t>Best Malz Caramel Munich II</t>
  </si>
  <si>
    <t>Best Malz Caramel Munich III</t>
  </si>
  <si>
    <t>Best Malz Special X</t>
  </si>
  <si>
    <t>Briess American Honey Malt</t>
  </si>
  <si>
    <t>Briess Caramel Vienne Malt</t>
  </si>
  <si>
    <t>Briess Caramel Munich Malt</t>
  </si>
  <si>
    <t>Briess Extra Special Malt</t>
  </si>
  <si>
    <t>Briess Caracrystal Wheat</t>
  </si>
  <si>
    <t>Briess Caramel Rye</t>
  </si>
  <si>
    <t>Castle Malting Château Crystal</t>
  </si>
  <si>
    <t>Castle Malting Château Café Light</t>
  </si>
  <si>
    <t>Castle Malting Château Café</t>
  </si>
  <si>
    <t>Castle Malting Château Cara Clair</t>
  </si>
  <si>
    <t>Castle Malting Château Cara Blond</t>
  </si>
  <si>
    <t>Castle Malting Château Cara Ruby</t>
  </si>
  <si>
    <t>Castle Malting Château Cara Gold</t>
  </si>
  <si>
    <t>Castle Malting Château Special B</t>
  </si>
  <si>
    <t>Castle Malting Château Wheat Crystal</t>
  </si>
  <si>
    <t>Crisp Malting Group Cara malt</t>
  </si>
  <si>
    <t>Crisp Malting Group Cara Gold malt</t>
  </si>
  <si>
    <t>Crisp Malting Group Crystal Extra Light (100)</t>
  </si>
  <si>
    <t>Crisp Malting Group Crystal Light (150)</t>
  </si>
  <si>
    <t>Crisp Malting Group Crystal Medium (240)</t>
  </si>
  <si>
    <t>Crisp Malting Group Crystal Dark (400)</t>
  </si>
  <si>
    <t>Crisp Malting Group Organic Crystal</t>
  </si>
  <si>
    <t>Gambrinus Malting Corporation Honey Malt</t>
  </si>
  <si>
    <t>Great Western Malting Crystal 15 Malt</t>
  </si>
  <si>
    <t>Great Western Malting Crystal 30 Malt</t>
  </si>
  <si>
    <t>Great Western Malting Crystal 40 Malt</t>
  </si>
  <si>
    <t>Great Western Malting Crystal 60 Malt</t>
  </si>
  <si>
    <t>Great Western Malting Crystal 75 Malt</t>
  </si>
  <si>
    <t>Great Western Malting Crystal 120 Malt</t>
  </si>
  <si>
    <t>Great Western Malting Crystal 150 Malt</t>
  </si>
  <si>
    <t>Great Western Malting Caramel Steam Malt</t>
  </si>
  <si>
    <t>Mouterij Dingemans Cara 20</t>
  </si>
  <si>
    <t>Mouterij Dingemans Cara 50</t>
  </si>
  <si>
    <t>Mouterij Dingemans Cara 100</t>
  </si>
  <si>
    <t>Mouterij Dingemans Cara 120</t>
  </si>
  <si>
    <t>Mouterij Dingemans Cara 200</t>
  </si>
  <si>
    <t>Mouterij Dingemans Special B</t>
  </si>
  <si>
    <t>Muntons Caramalt</t>
  </si>
  <si>
    <t>Muntons Crystal Malt 110</t>
  </si>
  <si>
    <t>Muntons Crystal Malt 150</t>
  </si>
  <si>
    <t>Muntons Crystal Malt 240</t>
  </si>
  <si>
    <t>Muntons Crystal Dark</t>
  </si>
  <si>
    <t>Simpson Malt Caramalt</t>
  </si>
  <si>
    <t>Simpson Malt Premium English Caramalt</t>
  </si>
  <si>
    <t>Simpson Malt Crystal Light</t>
  </si>
  <si>
    <t>Simpson Malt Crystal T50</t>
  </si>
  <si>
    <t>Simpson Malt Crystal Medium</t>
  </si>
  <si>
    <t>Simpson Malt Crystal Dark</t>
  </si>
  <si>
    <t>Simpson Malt Crystal Extra Dark</t>
  </si>
  <si>
    <t>Simpson Malt Simpsons DRC</t>
  </si>
  <si>
    <t>Simpson Malt Heritage Crystal Malt</t>
  </si>
  <si>
    <t>Simpson Malt Red Rye Crystal</t>
  </si>
  <si>
    <t>Thomas Fawcett &amp; Sons Ltd Caramalt</t>
  </si>
  <si>
    <t>Thomas Fawcett &amp; Sons Ltd Pale Crystal Malt</t>
  </si>
  <si>
    <t>Thomas Fawcett &amp; Sons Ltd Crystal Malt I</t>
  </si>
  <si>
    <t>Thomas Fawcett &amp; Sons Ltd Crystal Malt II</t>
  </si>
  <si>
    <t>Thomas Fawcett &amp; Sons Ltd Dark Crystal Malt I</t>
  </si>
  <si>
    <t>Thomas Fawcett &amp; Sons Ltd Dark Crystal Malt II</t>
  </si>
  <si>
    <t>Thomas Fawcett &amp; Sons Ltd Crystal Wheat Malt</t>
  </si>
  <si>
    <t>Thomas Fawcett &amp; Sons Ltd Crystal Rye Malt</t>
  </si>
  <si>
    <t>Viking CaraBody Malt</t>
  </si>
  <si>
    <t>Viking Caramel Pale Malt</t>
  </si>
  <si>
    <t>Viking Golden Ale Malt</t>
  </si>
  <si>
    <t>Viking Red Active Malt</t>
  </si>
  <si>
    <t>Viking Red Ale Malt</t>
  </si>
  <si>
    <t>Viking Caramel 30</t>
  </si>
  <si>
    <t>Viking Caramel 50</t>
  </si>
  <si>
    <t>Viking Caramel 100</t>
  </si>
  <si>
    <t>Viking Caramel 150</t>
  </si>
  <si>
    <t>Viking Caramel 200</t>
  </si>
  <si>
    <t>Viking Caramel 300</t>
  </si>
  <si>
    <t>Viking Caramel 400</t>
  </si>
  <si>
    <t>Viking Caramel 600</t>
  </si>
  <si>
    <t>Weyermann CARAHELL</t>
  </si>
  <si>
    <t>Weyermann CARABELGE</t>
  </si>
  <si>
    <t>Weyermann CARARED</t>
  </si>
  <si>
    <t>Weyermann CARAAMBER</t>
  </si>
  <si>
    <t>Weyermann CARAWHEAT</t>
  </si>
  <si>
    <t>Weyermann CARAMUNICH Type 1</t>
  </si>
  <si>
    <t>Weyermann CARAMUNICH Type 2</t>
  </si>
  <si>
    <t>Weyermann CARAMUNICH Type 3</t>
  </si>
  <si>
    <t>Weyermann CARARYE</t>
  </si>
  <si>
    <t>Weyermann CARABOHEMIAN</t>
  </si>
  <si>
    <t>Weyermann CARAAROMA</t>
  </si>
  <si>
    <t>Weyermann Abbey Malt</t>
  </si>
  <si>
    <t>Weyermann Special W</t>
  </si>
  <si>
    <t>Castle Malting Château Monastique</t>
  </si>
  <si>
    <t>Great Western Malting Brūmalt</t>
  </si>
  <si>
    <t>Malteries Franco-Belges Tourambré</t>
  </si>
  <si>
    <t>Mouterij Dingemans Aromatic/Amber</t>
  </si>
  <si>
    <t>Simpson Malt Aromatic Malt</t>
  </si>
  <si>
    <t>Briess Victory Malt</t>
  </si>
  <si>
    <t>Castle Malting Château Biscuit</t>
  </si>
  <si>
    <t>Great Western Malting Biscuit Rye</t>
  </si>
  <si>
    <t>Malteries Franco-Belges Special Aromatic</t>
  </si>
  <si>
    <t>Mouterij Dingemans Biscuit® 50</t>
  </si>
  <si>
    <t>Mouterij Dingemans Mroost wheat</t>
  </si>
  <si>
    <t>Simpson Malt Imperial Malt</t>
  </si>
  <si>
    <t>Viking Cookie Malt</t>
  </si>
  <si>
    <t>Best Malz Melanoidin</t>
  </si>
  <si>
    <t>Best Malz Melanoidin Light</t>
  </si>
  <si>
    <t>Castle Malting Château Melano Light</t>
  </si>
  <si>
    <t>Castle Malting Château Melano</t>
  </si>
  <si>
    <t>Great Western Malting Mela Malt</t>
  </si>
  <si>
    <t>Weyermann Melanoidin Malt</t>
  </si>
  <si>
    <t>Best Malz Red X</t>
  </si>
  <si>
    <t>Bairds Malt Amber Malt</t>
  </si>
  <si>
    <t>Briess Special Roast Malt</t>
  </si>
  <si>
    <t>Castle Malting Château Arôme</t>
  </si>
  <si>
    <t>Crisp Malting Group Amber</t>
  </si>
  <si>
    <t>Muntons Amber Malt</t>
  </si>
  <si>
    <t>Simpson Malt Amber Malt</t>
  </si>
  <si>
    <t>Thomas Fawcett &amp; Sons Ltd Amber Malt</t>
  </si>
  <si>
    <t>Mouterij Dingemans Aroma 100</t>
  </si>
  <si>
    <t>Briess Carabrown Malt</t>
  </si>
  <si>
    <t>Bairds Malt Brown Malt</t>
  </si>
  <si>
    <t>Crisp Malting Group Brown</t>
  </si>
  <si>
    <t>Mouterij Dingemans Aroma 150</t>
  </si>
  <si>
    <t>Thomas Fawcett &amp; Sons Ltd Brown Malt</t>
  </si>
  <si>
    <t>Castle Malting Château Black of Black</t>
  </si>
  <si>
    <t>Malteries Franco-Belges Coffee</t>
  </si>
  <si>
    <t>Patagonia Malt Brown</t>
  </si>
  <si>
    <t>Patagonia Malt Coffee</t>
  </si>
  <si>
    <t>Simpson Malt Brown Malt</t>
  </si>
  <si>
    <t>Bairds Malt Pale Chocolate Malt</t>
  </si>
  <si>
    <t>Bairds Malt Chocolate Malt</t>
  </si>
  <si>
    <t>Best Malz Chocolate</t>
  </si>
  <si>
    <t>Briess Chocolate Malt</t>
  </si>
  <si>
    <t>Briess Dark Chocolate Malt</t>
  </si>
  <si>
    <t>Castle Malting Château Chocolat</t>
  </si>
  <si>
    <t>Crisp Malting Group Pale Chocolate</t>
  </si>
  <si>
    <t>Crisp Malting Group Chocolate</t>
  </si>
  <si>
    <t>Malteries Franco-Belges Chocolate</t>
  </si>
  <si>
    <t>Mouterij Dingemans Mroost 900</t>
  </si>
  <si>
    <t>Muntons Chocolate Malt</t>
  </si>
  <si>
    <t>Muntons Light Chocolate Malt</t>
  </si>
  <si>
    <t>Patagonia Malt Chocolate</t>
  </si>
  <si>
    <t>Patagonia Malt Dark Chocolate</t>
  </si>
  <si>
    <t>Simpson Malt Chocolate Malt</t>
  </si>
  <si>
    <t>Thomas Fawcett &amp; Sons Ltd Pale Chocolate Malt</t>
  </si>
  <si>
    <t>Thomas Fawcett &amp; Sons Ltd Chocolate Malt</t>
  </si>
  <si>
    <t>Viking Chocolate Light Malt</t>
  </si>
  <si>
    <t>Viking Chocolate Dark Malt</t>
  </si>
  <si>
    <t>Bairds Malt Black Malt</t>
  </si>
  <si>
    <t>Best Malz Black Malt</t>
  </si>
  <si>
    <t>Best Malz Black Malt eXtra</t>
  </si>
  <si>
    <t>Briess Black Barley</t>
  </si>
  <si>
    <t>Briess Black Malt</t>
  </si>
  <si>
    <t>Briess Black Malted Barley Flour</t>
  </si>
  <si>
    <t>Castle Malting Château Black</t>
  </si>
  <si>
    <t>Crisp Malting Group Black</t>
  </si>
  <si>
    <t>Malteries Franco-Belges Black Malt</t>
  </si>
  <si>
    <t>Muntons Black Malt</t>
  </si>
  <si>
    <t>Simpson Malt Black Malt</t>
  </si>
  <si>
    <t>Thomas Fawcett &amp; Sons Ltd Black Malt</t>
  </si>
  <si>
    <t>Viking Pearled Black Malt</t>
  </si>
  <si>
    <t>Viking Black Malt</t>
  </si>
  <si>
    <t>Bairds Malt Roasted Barley</t>
  </si>
  <si>
    <t>Best Malz Roasted Barley</t>
  </si>
  <si>
    <t>Briess Roasted Barley</t>
  </si>
  <si>
    <t>Castle Malting Château Roasted Barley</t>
  </si>
  <si>
    <t>Crisp Malting Group Roasted Barley</t>
  </si>
  <si>
    <t>Mouterij Dingemans Mroost 1400</t>
  </si>
  <si>
    <t>Muntons Roasted Barley</t>
  </si>
  <si>
    <t>Simpson Malt Roasted Barley</t>
  </si>
  <si>
    <t>Thomas Fawcett &amp; Sons Ltd Roasted Barley</t>
  </si>
  <si>
    <t>Viking Roasted Barley</t>
  </si>
  <si>
    <t>Weyermann Roasted Barley</t>
  </si>
  <si>
    <t>Weyermann CARAFA Type 1</t>
  </si>
  <si>
    <t>Weyermann CARAFA Type 2</t>
  </si>
  <si>
    <t>Weyermann CARAFA Type 3</t>
  </si>
  <si>
    <t>Weyermann CARAFA Special Type 1 (dehusked)</t>
  </si>
  <si>
    <t>Weyermann CARAFA Special Type 2 (dehusked)</t>
  </si>
  <si>
    <t>Weyermann CARAFA Special Type 3 (dehusked)</t>
  </si>
  <si>
    <t>Briess Blackprinz Malt</t>
  </si>
  <si>
    <t>Mouterij Dingemans Pealed roasted barley</t>
  </si>
  <si>
    <t>Patagonia Malt Perla Negra (Black Pearl)</t>
  </si>
  <si>
    <t>Briess Midnight Wheat Malt</t>
  </si>
  <si>
    <t>Castle Malting Château Wheat Chocolat</t>
  </si>
  <si>
    <t>Castle Malting Château Wheat Black</t>
  </si>
  <si>
    <t>Thomas Fawcett &amp; Sons Ltd Roasted Wheat</t>
  </si>
  <si>
    <t>Weyermann Chocolate Wheat Malt</t>
  </si>
  <si>
    <t>Weyermann Roasted Wheat</t>
  </si>
  <si>
    <t>Thomas Fawcett &amp; Sons Ltd Roasted Rye</t>
  </si>
  <si>
    <t>Weyermann Chocolate Rye Malt</t>
  </si>
  <si>
    <t>Weyermann Roasted Rye</t>
  </si>
  <si>
    <t>Weyermann Chocolate Spelt Malt</t>
  </si>
  <si>
    <t>Bairds Malt Dextrin Malt</t>
  </si>
  <si>
    <t>Best Malz Chit Malt</t>
  </si>
  <si>
    <t>Briess Carapils Malt</t>
  </si>
  <si>
    <t>Briess Carapils® Copper Malt</t>
  </si>
  <si>
    <t>Crisp Malting Group Dextrin Malt</t>
  </si>
  <si>
    <t>Great Western Malting DextraPils</t>
  </si>
  <si>
    <t>Simpson Malt Dextrin Malt</t>
  </si>
  <si>
    <t>Viking Dextrin Malt</t>
  </si>
  <si>
    <t>Weyermann CARAFOAM</t>
  </si>
  <si>
    <t>Best Malz Acidulated Malt</t>
  </si>
  <si>
    <t>Castle Malting Château Acid</t>
  </si>
  <si>
    <t>Weyermann Acidulated Malt</t>
  </si>
  <si>
    <t>Castle Malting Château Chit Barley Malt Flakes</t>
  </si>
  <si>
    <t>Malteries Franco-Belges Flakes Of Barley</t>
  </si>
  <si>
    <t>Thomas Fawcett &amp; Sons Ltd Flaked Barley</t>
  </si>
  <si>
    <t>Thomas Fawcett &amp; Sons Ltd Flaked Maize</t>
  </si>
  <si>
    <t>Castle Malting Château Chit Wheat Malt Flakes</t>
  </si>
  <si>
    <t>Crisp Malting Group Torrefied Barley</t>
  </si>
  <si>
    <t>Crisp Malting Group Flaked Torrefied Barley</t>
  </si>
  <si>
    <t>Crisp Malting Group Flaked Torrefied Maize</t>
  </si>
  <si>
    <t>Crisp Malting Group Flaked Torrefied Rice</t>
  </si>
  <si>
    <t>Crisp Malting Group Torrefied Wheat</t>
  </si>
  <si>
    <t>Crisp Malting Group Flaked Torrefied Wheat</t>
  </si>
  <si>
    <t>Malteries Franco-Belges Wheat Flakes</t>
  </si>
  <si>
    <t>Muntons Torrified Wheat</t>
  </si>
  <si>
    <t>Thomas Fawcett &amp; Sons Ltd Torrefied Wheat</t>
  </si>
  <si>
    <t>Bairds Malt Peated Malt</t>
  </si>
  <si>
    <t>Best Malz Smoked</t>
  </si>
  <si>
    <t>Best Malz Peated</t>
  </si>
  <si>
    <t>Castle Malting Château Beech Smoked</t>
  </si>
  <si>
    <t>Weyermann Beech Smoked Barley Malt</t>
  </si>
  <si>
    <t>Castle Malting Château Peated</t>
  </si>
  <si>
    <t>Simpson Malt Peated Malt</t>
  </si>
  <si>
    <t>Simpson Malt Finest Golden Promise Peated Malt</t>
  </si>
  <si>
    <t>Thomas Fawcett &amp; Sons Ltd Peated Malt</t>
  </si>
  <si>
    <t>Briess Apple Wood Smoked Malt</t>
  </si>
  <si>
    <t>Briess Cherry Wood Smoked Malt</t>
  </si>
  <si>
    <t>Briess Mesquite Smoked Malt</t>
  </si>
  <si>
    <t>Weyermann Oak Smoked Wheat Malt</t>
  </si>
  <si>
    <t>Agave Syrup</t>
  </si>
  <si>
    <t>Brown Sugar</t>
  </si>
  <si>
    <t>Candi Syrup - D-180</t>
  </si>
  <si>
    <t>Candi Syrup - D-240</t>
  </si>
  <si>
    <t>Candi Syrup - D-45</t>
  </si>
  <si>
    <t>Candi Syrup - D-90</t>
  </si>
  <si>
    <t>Candi Syrup - Golden</t>
  </si>
  <si>
    <t>Candi Syrup - Simplicity</t>
  </si>
  <si>
    <t>Cane Sugar</t>
  </si>
  <si>
    <t>Corn Sugar</t>
  </si>
  <si>
    <t>Corn Syrup</t>
  </si>
  <si>
    <t>Dememera Sugar</t>
  </si>
  <si>
    <t>Dextrose (glucose)</t>
  </si>
  <si>
    <t>DME - Amber</t>
  </si>
  <si>
    <t>DME - Dark</t>
  </si>
  <si>
    <t>DME - Golden/Extra Light</t>
  </si>
  <si>
    <t>DME - Munich</t>
  </si>
  <si>
    <t>DME - Pale/Light</t>
  </si>
  <si>
    <t>DME - Pilsner</t>
  </si>
  <si>
    <t>DME - Vienna</t>
  </si>
  <si>
    <t>DME - Wheat</t>
  </si>
  <si>
    <t>Golden Syrup</t>
  </si>
  <si>
    <t>Honey</t>
  </si>
  <si>
    <t xml:space="preserve">Invert Sugar </t>
  </si>
  <si>
    <t>Lactose</t>
  </si>
  <si>
    <t>LME - Amber</t>
  </si>
  <si>
    <t>LME - Dark</t>
  </si>
  <si>
    <t>LME - Maris Otter</t>
  </si>
  <si>
    <t>LME - Munich</t>
  </si>
  <si>
    <t>LME - Pale/Gold</t>
  </si>
  <si>
    <t>LME - Pilsen</t>
  </si>
  <si>
    <t>LME - Rye</t>
  </si>
  <si>
    <t>LME - Ultralight</t>
  </si>
  <si>
    <t>LME - Vienna</t>
  </si>
  <si>
    <t>LME - Wheat</t>
  </si>
  <si>
    <t>Maple Sap</t>
  </si>
  <si>
    <t>Maple Syrup</t>
  </si>
  <si>
    <t>Molasses</t>
  </si>
  <si>
    <t>Rice Syrup</t>
  </si>
  <si>
    <t>Sorghum Syrup</t>
  </si>
  <si>
    <t>Treacle</t>
  </si>
  <si>
    <t>Turbinado</t>
  </si>
  <si>
    <t>Candi Sugar, Hard - Light</t>
  </si>
  <si>
    <t>Candi Sugar, Hard - Dark</t>
  </si>
  <si>
    <t>Candi Sugar, Soft - Blanc</t>
  </si>
  <si>
    <t>Candi Sugar, Soft -Brun Léger</t>
  </si>
  <si>
    <t>Candi Sugar, Soft - Brun Foncé</t>
  </si>
  <si>
    <t>Weyermann Floor-Malted Bohemian Dark Malt</t>
  </si>
  <si>
    <t>Weyermann Floor-Malted Bohemian Pilsner Malt</t>
  </si>
  <si>
    <t>Weyermann Floor-Malted Bohemian Wheat Malt</t>
  </si>
  <si>
    <t>Avangard Malz Pale Ale Malt</t>
  </si>
  <si>
    <t>Avangard Malz Pilsener Malt</t>
  </si>
  <si>
    <t>Avangard Malz Pilsener 6 row winter Malt</t>
  </si>
  <si>
    <t>Avangard Malz Pilsener 2 row winter Malt</t>
  </si>
  <si>
    <t>Avangard Malz Vienna Type Malt</t>
  </si>
  <si>
    <t>Avangard Malz Regular Munich Type Malt</t>
  </si>
  <si>
    <t>Avangard Malz Dark Munich Type Malt</t>
  </si>
  <si>
    <t>Avangard Malz Wheat Malt</t>
  </si>
  <si>
    <t>Avangard Malz Light Caramel Malt</t>
  </si>
  <si>
    <t>Avangard Malz Medium Caramel Malt</t>
  </si>
  <si>
    <t>Avangard Malz Dark Caramel Malt</t>
  </si>
  <si>
    <t>The Swaen Swaen©Pilsner</t>
  </si>
  <si>
    <t>The Swaen Swaen©Ale</t>
  </si>
  <si>
    <t>The Swaen Swaen©Lager</t>
  </si>
  <si>
    <t>The Swaen Swaen©Dutch Pale Ale</t>
  </si>
  <si>
    <t>The Swaen Swaen©Vienna</t>
  </si>
  <si>
    <t>The Swaen Swaen©Munich Light</t>
  </si>
  <si>
    <t>The Swaen Swaen©Munich Dark</t>
  </si>
  <si>
    <t>The Swaen Swaen©Melany</t>
  </si>
  <si>
    <t>The Swaen Swaen©Wheat Classic</t>
  </si>
  <si>
    <t>The Swaen Swaen©Wheat Dark</t>
  </si>
  <si>
    <t>The Swaen Swaen©Rye</t>
  </si>
  <si>
    <t>The Swaen Swaen©Oat</t>
  </si>
  <si>
    <t>The Swaen Swaen©Spelt</t>
  </si>
  <si>
    <t>The Swaen PlatinumSwaen©Chit</t>
  </si>
  <si>
    <t>The Swaen GoldSwaen©Light</t>
  </si>
  <si>
    <t>The Swaen GoldSwaen©Hell</t>
  </si>
  <si>
    <t>The Swaen PlatinumSwaen©Salty Caramel Malt</t>
  </si>
  <si>
    <t>The Swaen GoldSwaen©Belge</t>
  </si>
  <si>
    <t>The Swaen GoldSwaen©Red</t>
  </si>
  <si>
    <t>The Swaen GoldSwaen©Amber</t>
  </si>
  <si>
    <t>The Swaen GoldSwaen©Munich Light</t>
  </si>
  <si>
    <t>The Swaen GoldSwaen©Classic</t>
  </si>
  <si>
    <t>The Swaen GoldSwaen©Munich Dark</t>
  </si>
  <si>
    <t>The Swaen GoldSwaen©Brown Light</t>
  </si>
  <si>
    <t>The Swaen GoldSwaen©Brown</t>
  </si>
  <si>
    <t>The Swaen GoldSwaen©Brown Supreme</t>
  </si>
  <si>
    <t>The Swaen GoldSwaen©Wheat Light</t>
  </si>
  <si>
    <t>The Swaen GoldSwaen©Wheat Dark</t>
  </si>
  <si>
    <t>The Swaen GoldSwaen©Oat</t>
  </si>
  <si>
    <t>The Swaen GoldSwaen©Spelt</t>
  </si>
  <si>
    <t>The Swaen GoldSwaen©Rye</t>
  </si>
  <si>
    <t>The Swaen GoldSwaen©Aroma</t>
  </si>
  <si>
    <t>The Swaen BlackSwaen©Honey Biscuit</t>
  </si>
  <si>
    <t>The Swaen BlackSwaen©Biscuit</t>
  </si>
  <si>
    <t>The Swaen Swaen©Amber</t>
  </si>
  <si>
    <t>The Swaen PlatinumSwaen©Brown Porter</t>
  </si>
  <si>
    <t>The Swaen BlackSwaen©Chocolate B</t>
  </si>
  <si>
    <t>The Swaen BlackSwaen©Chocolate W</t>
  </si>
  <si>
    <t>The Swaen BlackSwaen©Coffee Light W</t>
  </si>
  <si>
    <t>The Swaen BlackSwaen©Coffee</t>
  </si>
  <si>
    <t>The Swaen BlackSwaen©Black</t>
  </si>
  <si>
    <t>The Swaen BlackSwaen©Black Extra</t>
  </si>
  <si>
    <t>The Swaen BlackSwaen©Black W</t>
  </si>
  <si>
    <t>The Swaen BlackSwaen©Barley</t>
  </si>
  <si>
    <t>The Swaen BlackSwaen©Oat</t>
  </si>
  <si>
    <t>The Swaen BlackSwaen©Spelt</t>
  </si>
  <si>
    <t>The Swaen BlackSwaen©Rye</t>
  </si>
  <si>
    <t>The Swaen PlatinumSwaen©Sauer</t>
  </si>
  <si>
    <t>The Swaen Flaked Barley</t>
  </si>
  <si>
    <t>The Swaen Flaked Maize</t>
  </si>
  <si>
    <t>The Swaen Flaked Oat</t>
  </si>
  <si>
    <t>The Swaen Flaked Wheat</t>
  </si>
  <si>
    <t>The Swaen PlatinumSwaen©Smoke</t>
  </si>
  <si>
    <t>My Cheapo Brewsheet</t>
  </si>
  <si>
    <t>Weyermann</t>
  </si>
  <si>
    <t>Rahr North Star Pils™</t>
  </si>
  <si>
    <t>Rahr Malted Oats</t>
  </si>
  <si>
    <t>Rahr Dextrin Malt</t>
  </si>
  <si>
    <t>Montana Craft Malt Bavarian Pilsner</t>
  </si>
  <si>
    <t>Montana Craft Malt British Pale</t>
  </si>
  <si>
    <t>Montana Craft Malt Pilsner</t>
  </si>
  <si>
    <t>Montana Craft Malt 2-Row</t>
  </si>
  <si>
    <t>Montana Craft Malt Light Munich</t>
  </si>
  <si>
    <t>Montana Craft Malt Vienna</t>
  </si>
  <si>
    <t>Montana Craft Malt Melanoidin Gold</t>
  </si>
  <si>
    <t>Montanta Craft Malt White Wheat Malt</t>
  </si>
  <si>
    <t>Montanta Craft Malt Dextrin</t>
  </si>
  <si>
    <t>Montanta Craft Malt Cara Ruby</t>
  </si>
  <si>
    <t>I22 Capri</t>
  </si>
  <si>
    <t>L25 Hygge</t>
  </si>
  <si>
    <t>version 3.3.4</t>
  </si>
  <si>
    <t>Briess Brewers Barley Flakes</t>
  </si>
  <si>
    <t>Briess Brewers Brown Rice Flakes</t>
  </si>
  <si>
    <t>Briess Brewers Oat Flakes</t>
  </si>
  <si>
    <t>Briess Brewers Red Wheat Flakes</t>
  </si>
  <si>
    <t>Briess Brewers Rye Flakes</t>
  </si>
  <si>
    <t>Briess Brewers Torrified Wheat</t>
  </si>
  <si>
    <t>Briess Brewers Yellow Corn Flakes</t>
  </si>
  <si>
    <t>Briess Rye Raw</t>
  </si>
  <si>
    <t>Briess Rye Raw Flour</t>
  </si>
  <si>
    <t>Briess Yellow Corn Raw</t>
  </si>
  <si>
    <t>pH adjustments</t>
  </si>
  <si>
    <t>mash pH</t>
  </si>
  <si>
    <t>lactic acid (ml)</t>
  </si>
  <si>
    <t>mash:</t>
  </si>
  <si>
    <t>sparge:</t>
  </si>
  <si>
    <t>2021 BJCP Styles</t>
  </si>
  <si>
    <t>0.29-0.3</t>
  </si>
  <si>
    <t>0.2-0.36</t>
  </si>
  <si>
    <t>2-3.5</t>
  </si>
  <si>
    <t>0.19-0.36</t>
  </si>
  <si>
    <t>0.38-0.55</t>
  </si>
  <si>
    <t>0.43-0.5</t>
  </si>
  <si>
    <t>0.19-0.45</t>
  </si>
  <si>
    <t>0.18-0.36</t>
  </si>
  <si>
    <t>14-30</t>
  </si>
  <si>
    <t>0.71-0.8</t>
  </si>
  <si>
    <t>0.68-0.75</t>
  </si>
  <si>
    <t>0.45-0.58</t>
  </si>
  <si>
    <t>0.41-0.57</t>
  </si>
  <si>
    <t>0.36-0.46</t>
  </si>
  <si>
    <t>0.33-0.44</t>
  </si>
  <si>
    <t>4-6</t>
  </si>
  <si>
    <t>0.36-0.49</t>
  </si>
  <si>
    <t>6-9</t>
  </si>
  <si>
    <t>0.58-0.82</t>
  </si>
  <si>
    <t>1.5-4</t>
  </si>
  <si>
    <t>0.41-0.6</t>
  </si>
  <si>
    <t>1.050-58</t>
  </si>
  <si>
    <t>5.0-6.0</t>
  </si>
  <si>
    <t>0.4-0.52</t>
  </si>
  <si>
    <t>0.5-0.8</t>
  </si>
  <si>
    <t>5.6-6.3</t>
  </si>
  <si>
    <t>0.33-0.4</t>
  </si>
  <si>
    <t>0.4-0.53</t>
  </si>
  <si>
    <t>0.31-0.38</t>
  </si>
  <si>
    <t>0.57-0.96</t>
  </si>
  <si>
    <t>9-17</t>
  </si>
  <si>
    <t>0.38-0.5</t>
  </si>
  <si>
    <t>17-28</t>
  </si>
  <si>
    <t>0.43-0.67</t>
  </si>
  <si>
    <t>19-30</t>
  </si>
  <si>
    <t>0.22-0.23</t>
  </si>
  <si>
    <t>0.32-0.29</t>
  </si>
  <si>
    <t>1.044-53</t>
  </si>
  <si>
    <t>0.18-0.28</t>
  </si>
  <si>
    <t>1.044-57</t>
  </si>
  <si>
    <t>0.23-0.32</t>
  </si>
  <si>
    <t>0.23-0.33</t>
  </si>
  <si>
    <t>0.83-0.9</t>
  </si>
  <si>
    <t>0.62-0.83</t>
  </si>
  <si>
    <t>0.53-0.85</t>
  </si>
  <si>
    <t>0.53-0.7</t>
  </si>
  <si>
    <t>0.8-0.86</t>
  </si>
  <si>
    <t>0.33-0.66</t>
  </si>
  <si>
    <t>0.5-0.58</t>
  </si>
  <si>
    <t>0.45-0.67</t>
  </si>
  <si>
    <t>0.33-0.57</t>
  </si>
  <si>
    <t>17-25</t>
  </si>
  <si>
    <t>3.3-3.9</t>
  </si>
  <si>
    <t>0.29-0.5</t>
  </si>
  <si>
    <t>12-20</t>
  </si>
  <si>
    <t>0.5-0.61</t>
  </si>
  <si>
    <t>0.69-1.02</t>
  </si>
  <si>
    <t>0.67-0.81</t>
  </si>
  <si>
    <t>0.56-0.62</t>
  </si>
  <si>
    <t>0.54-0.67</t>
  </si>
  <si>
    <t>0.89-0.93</t>
  </si>
  <si>
    <t>0.55-0.75</t>
  </si>
  <si>
    <t>0.55-0.68</t>
  </si>
  <si>
    <t>0.24-0.27</t>
  </si>
  <si>
    <t>17 D English Barley Wine</t>
  </si>
  <si>
    <t>0.44-0.58</t>
  </si>
  <si>
    <t>0.39-0.52</t>
  </si>
  <si>
    <t>0.67-0.83</t>
  </si>
  <si>
    <t>0.56-0.67</t>
  </si>
  <si>
    <t>0.44-0.67</t>
  </si>
  <si>
    <t>0.5-0.71</t>
  </si>
  <si>
    <t>0.7-1</t>
  </si>
  <si>
    <t>0.67-0.78</t>
  </si>
  <si>
    <t>0.71-1</t>
  </si>
  <si>
    <t>0.86-1.25</t>
  </si>
  <si>
    <t>1-1.06</t>
  </si>
  <si>
    <t>21 B Specialty IPA: Brut IPA</t>
  </si>
  <si>
    <t>1.046-57</t>
  </si>
  <si>
    <t>0.990-1.004</t>
  </si>
  <si>
    <t>0.43-0.53</t>
  </si>
  <si>
    <t>0.89-1.07</t>
  </si>
  <si>
    <t>0.71-1.08</t>
  </si>
  <si>
    <t>5-68</t>
  </si>
  <si>
    <t>21 C Hazy IPA</t>
  </si>
  <si>
    <t>1.060-85</t>
  </si>
  <si>
    <t>6.0-9.0</t>
  </si>
  <si>
    <t>25-60</t>
  </si>
  <si>
    <t>0.42-0.71</t>
  </si>
  <si>
    <t>60-100</t>
  </si>
  <si>
    <t>0.92-1.18</t>
  </si>
  <si>
    <t>0.81-1.11</t>
  </si>
  <si>
    <t>7-18</t>
  </si>
  <si>
    <t>9-18</t>
  </si>
  <si>
    <t>0.11-0.25</t>
  </si>
  <si>
    <t>0.21-0.44</t>
  </si>
  <si>
    <t>0.5-0.34</t>
  </si>
  <si>
    <t>0-0.19</t>
  </si>
  <si>
    <t>5-6</t>
  </si>
  <si>
    <t>0-0.17</t>
  </si>
  <si>
    <t>23 G Gose</t>
  </si>
  <si>
    <t>0.14-0.21</t>
  </si>
  <si>
    <t>0.18-0.38</t>
  </si>
  <si>
    <t>0.42-0.56</t>
  </si>
  <si>
    <t>0.3-0.35</t>
  </si>
  <si>
    <t>0.24-0.4</t>
  </si>
  <si>
    <t>0.42-0.54</t>
  </si>
  <si>
    <t>0.31-0.37</t>
  </si>
  <si>
    <t>26 MONASTIC ALE</t>
  </si>
  <si>
    <t>26 A Belgian Single</t>
  </si>
  <si>
    <t>0.57-0.83</t>
  </si>
  <si>
    <t>0.24-0.33</t>
  </si>
  <si>
    <t>0.27-0.47</t>
  </si>
  <si>
    <t>0.27-0.32</t>
  </si>
  <si>
    <t>27 Historical Beer: Kellerbier</t>
  </si>
  <si>
    <t>0.34-0.55</t>
  </si>
  <si>
    <t>0.16-0.3</t>
  </si>
  <si>
    <t>0.45-0.53</t>
  </si>
  <si>
    <t>0.71-1.09</t>
  </si>
  <si>
    <t>0.57-0.67</t>
  </si>
  <si>
    <t>0.22-0.36</t>
  </si>
  <si>
    <t>0.09-0.13</t>
  </si>
  <si>
    <t>28 D Straight Sour Beer</t>
  </si>
  <si>
    <t>1.006-13</t>
  </si>
  <si>
    <t>4.5-7.0</t>
  </si>
  <si>
    <t>0.06-0.12</t>
  </si>
  <si>
    <t>29 D Grape Ale</t>
  </si>
  <si>
    <t>1.059-75</t>
  </si>
  <si>
    <t>1.004-13</t>
  </si>
  <si>
    <t>0.17-0.4</t>
  </si>
  <si>
    <t>4-8</t>
  </si>
  <si>
    <t>30 D Specialty Spice Beer</t>
  </si>
  <si>
    <t>34 A Commercial Specialty Beer</t>
  </si>
  <si>
    <t>0.36-0.41</t>
  </si>
  <si>
    <t>0.64-0.92</t>
  </si>
  <si>
    <t>X 4 Catharina Sour</t>
  </si>
  <si>
    <t>1.039-48</t>
  </si>
  <si>
    <t>1.004-12</t>
  </si>
  <si>
    <t>2-8</t>
  </si>
  <si>
    <t>0.05-0.17</t>
  </si>
  <si>
    <t>X 5 New Zealand Pilsner</t>
  </si>
  <si>
    <t>1.009-14</t>
  </si>
  <si>
    <t>4.5-5.8</t>
  </si>
  <si>
    <t>25-46</t>
  </si>
  <si>
    <t>0.57-0.82</t>
  </si>
  <si>
    <t>Description</t>
  </si>
  <si>
    <t>A highly carbonated, very light-bodied, nearly flavorless lager designed to be consumed very cold. Very refreshing and thirst-quenching.</t>
  </si>
  <si>
    <t>A very pale, highly-carbonated, light-bodied, well-attenuated lager with a very neutral flavor profile and low bitterness. Served very cold, it can be a very refreshing and thirst-quenching drink.</t>
  </si>
  <si>
    <t>A clean, well-attenuated, highly carbonated, flavorful American “lawnmower” beer. Easily drinkable, smooth, and refreshing, with more character than typical American lagers, yet still subtle and restrained.</t>
  </si>
  <si>
    <t>A pale, refreshing grainy, doughy, or bready wheat beer with a clean fermentation profile and a variable hop character and bitterness. Its lighter body and higher carbonation contribute to its easy-drinking nature.</t>
  </si>
  <si>
    <t>A highly-attenuated pale lager without strong flavors, typically well-balanced and highly carbonated. Served cold, it is refreshing and thirst-quenching.</t>
  </si>
  <si>
    <t>A smooth, easily-drinkable, malty amber lager with a flavorful caramel or toast character. Usually fairly well-attenuated, often with an adjunct quality and restrained bitterness.</t>
  </si>
  <si>
    <t>A darker, richer, and somewhat sweeter version of international pale lager with a little more body and flavor, but equally restrained in bitterness. The low bitterness leaves the malt as the primary flavor element, and the low hop levels provide very little in the way of balance.</t>
  </si>
  <si>
    <t>A lighter-bodied, rich, refreshing, hoppy, bitter pale Czech lager having the familiar flavors of the stronger Czech Premium Pale Lager (Pilsner-type) beer but in a lower alcohol, lighter-bodied, and slightly less intense format.</t>
  </si>
  <si>
    <t>A refreshing pale Czech lager with considerable malt and hop character and a long finish. The malt flavors are complex for a Pilsner-type beer. The bitterness is strong and clean but lacks harshness, which gives a well-balanced, rounded flavor impression that enhances drinkability.</t>
  </si>
  <si>
    <t>A malty amber Czech lager with a hop character that can vary from low to quite significant. The malt flavors also can vary, leading to different interpretations and balances ranging from drier, bready, and slightly biscuity to sweeter and somewhat caramel-like.</t>
  </si>
  <si>
    <t>A rich, dark, malty Czech lager with a roast character that can vary from almost absent to quite prominent. Malty balance and an interesting and complex flavor profile, with variable levels of hopping that provides a range of possible interpretations.</t>
  </si>
  <si>
    <t>A gold-colored German lager with a smooth, malty flavor and a soft, dry finish. Subtle spicy, floral, or herbal hops and restrained bitterness help keep the balance malty but not sweet, which helps make this beer a refreshing, everyday drink.</t>
  </si>
  <si>
    <t>A smooth, clean, pale German lager with a moderately strong malty flavor and a light hop character. Deftly balances strength and drinkability, with a palate impression and finish that encourages drinking. Showcases elegant German malt flavors without becoming too heavy or filling.</t>
  </si>
  <si>
    <t>A relatively pale, strong, malty German lager with a nicely attenuated finish that enhances drinkability. The hop character is generally more apparent and the malt character less deeply rich than in other Bocks.</t>
  </si>
  <si>
    <t>A pale, highly-attenuated, light-bodied German lager with lower alcohol and calories than standard-strength beers. Moderately bitter with noticeable malt and hop flavors, the beer is still interesting to drink.</t>
  </si>
  <si>
    <t>A subtle, brilliantly clear, pale beer with a delicate balance of malt, fruit, and hop character, moderate bitterness, and a well-attenuated but soft finish. Freshness makes a huge difference with this beer, as the delicate character can fade quickly with age.</t>
  </si>
  <si>
    <t xml:space="preserve">A golden German lager balancing a smooth malty profile with a bitter, hoppy character in a slightly above-average body and strength beer. </t>
  </si>
  <si>
    <t>A pale, dry, bitter German lager featuring a prominent hop aroma. Crisp, clean, and refreshing, showing a brilliant gold color with excellent head retention.</t>
  </si>
  <si>
    <t>An amber, malty German lager with a clean, rich, toasty, bready malt flavor, restrained bitterness, and a well-attenuated finish. The overall malt impression is soft, elegant, and complex, with a rich malty aftertaste that is never cloying or heavy.</t>
  </si>
  <si>
    <t>A beechwood-smoked, malty, amber German lager. The expected Märzen profile of toasty-rich malt, restrained bitterness, clean fermentation, and a relatively dry finish is enhanced by a noticeable to intense smoke character.</t>
  </si>
  <si>
    <t>A strong, dark, malty German lager beer that emphasizes the malty-rich and somewhat toasty qualities of continental malts without being sweet in the finish.</t>
  </si>
  <si>
    <t>A moderate-strength continental amber lager with a soft, smooth maltiness and a balanced, moderate bitterness, yet finishing relatively dry. The malt flavor is clean, bready-rich, and somewhat toasty, with an elegant impression derived from quality base malts and process, not specialty malts or adjuncts.</t>
  </si>
  <si>
    <t>A moderately colored, well-attenuated, bitter beer with a rich maltiness balancing a strong bitterness. Light and spicy hop character complements the malt. A dry beer with a firm body and smooth palate.</t>
  </si>
  <si>
    <t>A traditional malty brown lager from Bavaria. Deeply toasted, bready malt flavors without any roasty or burnt flavors. Smooth and rich, with a restrained bitterness and a relatively dry finish that allows for drinking in quantity.</t>
  </si>
  <si>
    <t>A dark German lager that balances roasted yet smooth malt flavors with moderate hop bitterness. The lighter body, dryness, and lack of a harsh, burnt, or heavy aftertaste helps make this beer quite drinkable.</t>
  </si>
  <si>
    <t>A strong, rich, and very malty German lager that can have both pale and dark variants. The darker versions have more richly-developed, deeper malt flavors, while the paler versions have slightly more hops and dryness.</t>
  </si>
  <si>
    <t xml:space="preserve">A strong, full-bodied, rich, and malty dark German lager often with a viscous quality and strong flavors. Even though flavors are concentrated, the alcohol should be smooth and warming, not burning. </t>
  </si>
  <si>
    <t>A strong, dark, malty beer with different interpretations within the Baltic region. Smooth, warming, and richly malty, with complex dark fruit flavors and a roasted flavor without burnt notes.</t>
  </si>
  <si>
    <t>A pale, refreshing, lightly-hopped German wheat beer with high carbonation, dry finish, fluffy mouthfeel, and a distinctive banana-and-clove weizen yeast fermentation profile.</t>
  </si>
  <si>
    <t>A moderately dark German wheat beer with a distinctive banana-and-clove weizen yeast fermentation profile, supported by a toasted bread or caramel malt flavor. Highly carbonated and refreshing, with a creamy, fluffy texture and light finish.</t>
  </si>
  <si>
    <t>A strong and malty German wheat beer combining the best wheat and yeast flavors of a Weissbier with the rich maltiness, strength, and body of a Bock. The style range includes Bock and Doppelbock strength, with variations for pale and dark color.</t>
  </si>
  <si>
    <t>Low gravity, alcohol, and carbonation make this an easy-drinking session beer. The malt profile can vary in flavor and intensity, but should never override the overall bitter impression. Drinkability is a critical component of the style.</t>
  </si>
  <si>
    <t>A flavorful, yet refreshing, session beer. Some examples can be more malt balanced, but this should not override the overall bitter impression. Drinkability is a critical component of the style.</t>
  </si>
  <si>
    <t>An average-strength to moderately-strong British bitter ale. The balance may vary between fairly even between malt and hops to somewhat bitter. Drinkability is a critical component of the style. A rather broad style that allows for considerable interpretation by the brewer.</t>
  </si>
  <si>
    <t xml:space="preserve">A hop-forward, average-strength to moderately-strong pale bitter. Drinkability and a refreshing quality are critical components of the style, as it was initially a summer seasonal beer. </t>
  </si>
  <si>
    <t>A well-balanced, pale, highly-carbonated, and refreshing ale suitable for drinking in a hot climate. Fairly bitter, with a moderate herbal-spicy hop and pome fruit ester profile. Smooth, neutral malt flavors with a fuller body but a crisp, highly-attenuated finish.</t>
  </si>
  <si>
    <t xml:space="preserve">A bitter, moderately-strong, very well-attenuated pale British ale with a dry finish and a hoppy aroma and flavor. Classic British ingredients provide the most authentic flavor profile. </t>
  </si>
  <si>
    <t>A dark, low-gravity, malt-focused British session ale readily suited to drinking in quantity. Refreshing, yet flavorful for its strength, with a wide range of dark malt or dark sugar expression.</t>
  </si>
  <si>
    <t>A malty, caramelly, brown British ale without the roasted flavors of a Porter. Balanced and flavorful, but usually a little stronger than most average UK beers.</t>
  </si>
  <si>
    <t>A moderate-strength dark brown English ale with a restrained roasty, bitter character. May have a range of roasted flavors, generally without burnt qualities, and often has a malty chocolate and caramel profile.</t>
  </si>
  <si>
    <t xml:space="preserve">A low-alcohol, malty beer with light caramel, toast, toffee, and fruit flavors. A slight roast dryness offsets the residual sweetness in the finish, with the bitterness perceived only to keep the beer from being cloying. </t>
  </si>
  <si>
    <t xml:space="preserve">A lower-alcohol, malty beer with light caramel, toast, toffee, and fruity flavors. A slight roast dryness offsets the residual sweetness in the finish, with the bitterness perceived only to keep the beer from being cloying. </t>
  </si>
  <si>
    <t>A moderate-strength, malty beer with light caramel, toast, toffee, and fruit flavors. A slight roast dryness offsets the residual sweetness in the finish, with the bitterness perceived only to keep the beer from being cloying.</t>
  </si>
  <si>
    <t>An easy-drinking pint, often with subtle flavors. Slightly malty in the balance sometimes with an initial soft toffee or caramel sweetness, a slightly grainy-biscuity palate, and a touch of roasted dryness in the finish. Some versions can emphasize the caramel and sweetness more, while others will favor the grainy palate and roasted dryness.</t>
  </si>
  <si>
    <t>A black beer with a pronounced roasted flavor, often similar to coffee. The balance can range from fairly even to quite bitter, with the more balanced versions having a little malty sweetness and the bitter versions being quite dry. Draught versions typically are creamy from a nitro pour, but bottled versions will not have this dispense-derived character. The roasted flavor can range from dry and coffee-like to somewhat chocolaty.</t>
  </si>
  <si>
    <t>A fuller-bodied black beer with a pronounced roasted flavor, often similar to coffee and dark chocolate with some malty complexity. The balance can range from moderately bittersweet to bitter, with the more balanced versions having up to moderate malty richness and the bitter versions being quite dry.</t>
  </si>
  <si>
    <t>A very dark, sweet, full-bodied, slightly roasty stout that can suggest coffee-and-cream, or sweetened espresso.</t>
  </si>
  <si>
    <t>A dark, roasty, full-bodied stout with enough sweetness to support the oat backbone. The sweetness, balance, and oatmeal impression can vary considerably.</t>
  </si>
  <si>
    <t>A very dark, sweet, fruity, moderately strong stout with smooth, roasty flavors, yet no burnt harshness.</t>
  </si>
  <si>
    <t>A very dark, rich, moderately strong, fairly dry stout with prominent roast flavors.</t>
  </si>
  <si>
    <t>An ale of respectable alcoholic strength, traditionally bottled-conditioned and cellared. Can have a wide range of interpretations, but most will have varying degrees of malty richness, late hops and bitterness, fruity esters, and alcohol warmth. The malt and adjunct flavors and intensity can vary widely, but any combination should result in an agreeable palate experience.</t>
  </si>
  <si>
    <t>A stronger-than-average English ale, though usually not as strong or rich as an English Barley Wine, but usually malty. Warming. Shows positive maturation effects of a well-kept, aged beer.</t>
  </si>
  <si>
    <t>Rich, sweet malt depth with caramel, toffee, and fruity flavors. Full-bodied and chewy, with warming alcohol. Restrained bitterness, but not cloying or syrupy.</t>
  </si>
  <si>
    <t>A strong and richly malty ale with a pleasant fruity or hoppy depth. A wintertime sipper with a full, chewy body and warming alcohol.</t>
  </si>
  <si>
    <t>Easy-drinking, approachable, malt-oriented American craft beer, often with interesting fruit, hop, or character malt notes. Well-balanced and clean, is a refreshing pint without aggressive flavors.</t>
  </si>
  <si>
    <t xml:space="preserve">An average-strength, hop-forward, pale American craft beer with sufficient supporting malt to make the beer balanced and drinkable. The clean hop presence can reflect classic or modern American or New World hop varieties with a wide range of characteristics. </t>
  </si>
  <si>
    <t>An amber, hoppy, moderate-strength American craft beer with a malty caramel flavor. The balance can vary quite a bit, with some versions being fairly malty and others being aggressively hoppy. Hoppy and bitter versions should not have clashing flavors with the caramel malt profile.</t>
  </si>
  <si>
    <t>A toasty and caramelly, fairly bitter, standard-strength beer with an interesting fruitiness and rustic, woody hop character. Smooth and well carbonated.</t>
  </si>
  <si>
    <t>A malty but hoppy standard-strength American ale frequently with chocolate and caramel flavors. The hop flavor and aroma complement and enhance the malt rather than clashing with it.</t>
  </si>
  <si>
    <t>A malty, bitter, and often somewhat hoppy dark beer with a balanced, roasted, and frequently chocolatey character.</t>
  </si>
  <si>
    <t>A fairly strong, highly roasted, bitter, hoppy dark stout. The body and dark flavors typical of stouts with a more aggressive American hop character and bitterness.</t>
  </si>
  <si>
    <t>An intensely-flavored, very strong, very dark stout with a broad range of interpretations. Roasty-burnt malt with a depth of dark or dried fruit flavors, and a warming, bittersweet finish. Despite the intense flavors, the components need to meld together to create a complex, harmonious beer, not a hot mess – sometimes only accomplished with age.</t>
  </si>
  <si>
    <t>A decidedly hoppy and bitter, moderately strong, pale American ale. The balance is hop-forward, with a clean fermentation profile, dryish finish, and clean, supporting malt allowing a creative range of hop character to shine through.</t>
  </si>
  <si>
    <t>A dry, hoppy IPA with fruitiness and spiciness of Belgian yeast. Often lighter in color and more attenuated, similar to a Belgian Tripel that has been brewed with more hops.</t>
  </si>
  <si>
    <t>A beer with the dryness, hop-forward balance, and flavor characteristics of an American IPA, but darker in color. Darker malts add a gentle and supportive flavor, not a strongly roasted or burnt character.</t>
  </si>
  <si>
    <t>Hoppy, bitter, and moderately strong like an American IPA, but with dark caramel, chocolate, toffee, or dark fruit character as in an American Brown Ale. Retaining the dryish finish and lean body that makes IPAs so drinkable, a Brown IPA is a little more flavorful and malty than an American IPA without being sweet or heavy.</t>
  </si>
  <si>
    <t>A very pale, hop-forward American IPA variant with a bone-dry finish, very high carbonation, and a restrained bitterness level. Can be suggestive of a sparkling white wine or Champagne. The hop character is modern, and emphasizes flavor and aroma dimensions.</t>
  </si>
  <si>
    <t>Hoppy, bitter, and moderately strong like an American IPA, but with some caramel, toffee, or fruit character as in an American Amber Ale. Retaining the dryish finish and lean body that makes IPAs so drinkable, a Red IPA is a little more flavorful and malty than an American IPA without being sweet or heavy.</t>
  </si>
  <si>
    <t>An American IPA with spicy, grainy rye malt. The rye gives a bready and peppery flavor, a creamier body, and a dry, grainy finish.</t>
  </si>
  <si>
    <t>A fruity, spicy, refreshing version of an American IPA, but with a lighter color, less body, and featuring the distinctive yeast or spice additions typical of a Witbier.</t>
  </si>
  <si>
    <t xml:space="preserve">An American IPA with intense fruit flavors and aromas, a soft body, smooth mouthfeel, and often opaque with substantial haze. Less perceived bitterness than traditional IPAs but always massively hop-forward. </t>
  </si>
  <si>
    <t xml:space="preserve">An intensely hoppy, fairly strong, bitter pale ale without the big, rich, complex maltiness, residual sweetness, and body of an American Barleywine. Strongly hopped, but clean, dry, and lacking harshness. Despite showing its strength, drinkability is an important consideration. </t>
  </si>
  <si>
    <t xml:space="preserve">A malty, bitter, and strong American Ale fitting in the space between American Barleywine, Double IPA, and Red IPA. The malty and hoppy flavors can be quite strong, but are generally in balance. </t>
  </si>
  <si>
    <t xml:space="preserve">A very strong, malty, hoppy, bitter American ale with a rich palate, full mouthfeel, and warming aftertaste, suitable for contemplative sipping. </t>
  </si>
  <si>
    <t>A richly textured, high alcohol sipping beer with a significant grainy, bready flavor, and a sleek body. The emphasis is first on the bready, wheaty flavors with malt, hops, fruity yeast, and alcohol complexity.</t>
  </si>
  <si>
    <t>A very pale, refreshing, low-alcohol German wheat beer with a clean lactic sourness and a very high carbonation level. A light bread dough malt flavor supports the sourness, which shouldn’t seem artificial. A gentle fruitiness is found in the best examples.</t>
  </si>
  <si>
    <t>A sour and fruity oak-aged reddish-brown Belgian-style ale with supportive toasty malt flavors and fruit complexity. The dry, tannic finish supports the suggestion of a vintage red wine.</t>
  </si>
  <si>
    <t>A malty, fruity, aged, somewhat sour Belgian-style brown ale with a caramel-chocolate malt flavor, and often substantial alcohol.</t>
  </si>
  <si>
    <t xml:space="preserve">A fairly sour, often moderately funky, wild Belgian wheat beer with sourness taking the place of hop bitterness in the balance. Traditionally served uncarbonated as a café drink. </t>
  </si>
  <si>
    <t>A very refreshing, highly carbonated, pleasantly sour but balanced wild Belgian wheat beer. The wild beer character can be complex and varied, combining sour, funky, and fruity flavors.</t>
  </si>
  <si>
    <t>A complex, refreshing, pleasantly sour Belgian wheat beer blending a complementary fermented fruit character with a sour, funky Gueuze.</t>
  </si>
  <si>
    <t>A tart, lightly-bittered historical central European wheat beer with a distinctive but restrained salt and coriander character. Very refreshing, with a dry finish, high carbonation, and bright flavors.</t>
  </si>
  <si>
    <t>A pale, hazy Belgian wheat beer with spices accentuating the yeast character. A delicate, lightly spiced, moderate-strength ale that is a refreshing summer drink with its high carbonation, dry finish, and light hopping.</t>
  </si>
  <si>
    <t>A top-fermented, all malt, average strength Belgian ale that is moderately bitter, not dry-hopped, and without strong flavors. The copper-colored beer lacks the aggressive yeast character or sourness of many Belgian beers, but has a well-balanced, malty, fruity, and often bready and toasty profile.</t>
  </si>
  <si>
    <t>A family of smooth, fairly strong, malty, lagered artisanal French beer with a range of malt flavors appropriate for the blond, amber, or brown color. All are malty yet dry, with clean flavors. Darker versions have more malt character, while paler versions can have more hops while still remaining malt-focused beers.</t>
  </si>
  <si>
    <t>A golden, moderately-strong Belgian ale with a pleasantly subtle citrusy-spicy yeast complexity, smooth malty palate, and dry, soft finish.</t>
  </si>
  <si>
    <t>A family of refreshing, highly attenuated, hoppy, and fairly bitter Belgian ales with a very dry finish and high carbonation. Characterized by a fruity, spicy, sometimes phenolic fermentation profile, and the use of cereal grains and sometimes spices for complexity. Several variations in strength and color exist.</t>
  </si>
  <si>
    <t>A very pale, highly attenuated, strong Belgian ale that is more fruity and hoppy than spicy. Complex and delicate, the dry finish, light body, and high carbonation accentuate the yeast and hop character. Sparkling carbonation and effervescent, forming a rocky white head.</t>
  </si>
  <si>
    <t>A blond, bitter, hoppy table beer that is very dry and highly carbonated. The aggressive fruity-spicy Belgian yeast character and high bitterness is forward in the balance, with a soft, supportive grainy-sweet malt palate, and a spicy-floral hop profile.</t>
  </si>
  <si>
    <t>A deep reddish-copper, moderately strong, malty, complex Belgian ale with rich malty flavors, dark or dried fruit esters, and light alcohol blended together in a malty presentation that still finishes fairly dry.</t>
  </si>
  <si>
    <t>A strong, pale, somewhat spicy Belgian ale with a pleasant rounded malt flavor, firm bitterness, and dry finish. Quite aromatic, with spicy, fruity, and light alcohol notes combining with the supportive clean malt character to produce a surprisingly drinkable beverage considering the high alcohol content.</t>
  </si>
  <si>
    <t>A dark, complex, very strong Belgian ale with a delicious blend of malt richness, dark fruit flavors, and spicy notes. Complex, rich, smooth, and dangerous.</t>
  </si>
  <si>
    <t>An unfiltered, unpasteurized, fully-attenuated German lager traditionally served from lagering vessels. May be a little richer, more robust, and rustic than the base styles. A fresh beer without fermentation defects associated with young, green (unfinished) beer.</t>
  </si>
  <si>
    <t>A clean, dry, refreshing, slightly malty dark beer with high carbonation. Mild-tasting, with light toast and caramel flavors, served very fresh as a sessionable saloon beer.</t>
  </si>
  <si>
    <t>A sour, smoked, lower-gravity historical central European wheat beer. Complex yet refreshing character due to high attenuation and carbonation, along with low bitterness and moderate sourness.</t>
  </si>
  <si>
    <t>A luscious, sweet, malty, low-alcohol dark brown ale, with caramel and toffee malt complexity and a sweet-tasting finish.</t>
  </si>
  <si>
    <t>A low-gravity, bitter, oak-smoked historical central European wheat beer with a clean fermentation profile and no sourness. Highly carbonated, dry, crisp, and refreshing.</t>
  </si>
  <si>
    <t>A bitter and hoppy pale American adjunct lager, often with a robust, corny flavor profile, although more crisp and neutral-tasting versions exist.</t>
  </si>
  <si>
    <t>A historical American adaptation of English Porter by German immigrants using American ingredients, including adjuncts.</t>
  </si>
  <si>
    <t>A Dunkles Weissbier made with rye rather than wheat, but with a greater body and light finishing hops. The rye gives a bready and peppery flavor, a creamy body, and a dry, grainy finish that blends with the distinctive banana-and-clove weizen yeast character.</t>
  </si>
  <si>
    <t>A sweet, heavy, strong traditional Finnish farmhouse beer usually with rye and juniper, and a banana-clove yeast character.</t>
  </si>
  <si>
    <t>Most often drier and fruitier than the base style suggests. Fruity or funky notes range from low to high, depending on the age of the beer and strains of Brett used. May possess a light non-lactic acidity.</t>
  </si>
  <si>
    <t>A sour and funky version of a base style of beer.</t>
  </si>
  <si>
    <t>An American Wild Ale with fruit, herbs, spices, or other Specialty-Type Ingredients.</t>
  </si>
  <si>
    <t>A pale, refreshing, sour beer with a clean lactic sourness. A gentle, pale malt flavor supports the lemony sourness with moderate fruity esters.</t>
  </si>
  <si>
    <t>A pleasant integration of fruit with beer, but still recognizable as beer. The fruit character should be evident but in balance with the beer, not so forward as to suggest an artificial product.</t>
  </si>
  <si>
    <t>A tasteful union of fruit, spice, and beer, but still recognizable as beer. The fruit and spice character should each be evident but in balance with the beer, not so forward as to suggest an artificial product.</t>
  </si>
  <si>
    <t>A appealing combination of fruit, sugar, and beer, but still recognizable as a beer. The fruit and sugar character should both be evident but in balance with the beer, not so forward as to suggest an artificial product.</t>
  </si>
  <si>
    <t>Combines the profile of a sparkling wine and a relatively neutral base beer allowing the aromatic qualities of the grape to blend pleasantly with hop and yeast aromatics. Can be in a range from refreshing to complex.</t>
  </si>
  <si>
    <t>An appealing fusion of spices, herbs, or vegetables (SHVs) and beer, but still recognizable as beer. The SHV character should be evident but in balance with the beer, not so forward as to suggest an artificial product.</t>
  </si>
  <si>
    <t>A malty, spiced beer that often has a moderately rich body and slightly warming finish suggesting a good accompaniment for the cool fall season, and often evocative of harvest or Thanksgiving traditions.</t>
  </si>
  <si>
    <t>A stronger, darker, spiced beer that often has a rich body and warming finish suggesting a good accompaniment for the cold winter season.</t>
  </si>
  <si>
    <t>An appealing combination of spices, herbs, or vegetables (SHVs), sugars, and beer, but still recognizable as beer. The SHV and sugar character should both be evident but in balance with the beer, not so forward as to suggest an artificial product.</t>
  </si>
  <si>
    <t>A base beer enhanced by or featuring the character of additional grains. The specific character depends greatly on the added grains.</t>
  </si>
  <si>
    <t>A tasteful integration of sugar and beer, but still recognizable as beer. The sugar character should both be evident and in balance with the beer, not so forward as to suggest an artificial product.</t>
  </si>
  <si>
    <t>A well-balanced fusion of the malt and hops of the base beer style with a pleasant and agreeable smoke character.</t>
  </si>
  <si>
    <t>A well-balanced fusion of the malt and hops of the base specialty beer style with a pleasant and agreeable smoke character.</t>
  </si>
  <si>
    <t>A pleasant enhancement of the base beer style with the characteristics from aging in contact with wood. The best examples will be smooth, flavorful, well-balanced, and well-aged.</t>
  </si>
  <si>
    <t>An elevation of the base beer style with characteristics from aging in contact with wood, including alcoholic products previously in contact with the wood. The best examples will be smooth, flavorful, well-balanced, and well-aged.</t>
  </si>
  <si>
    <t>Based on declared beer.</t>
  </si>
  <si>
    <t>Based on the declared Base Styles, methods, and ingredients. As with all Specialty-Type Beers, the resulting combination of beer styles needs to be harmonious and balanced, and be pleasant to drink.</t>
  </si>
  <si>
    <t>Varies, but should be a unique experience.</t>
  </si>
  <si>
    <t>Easy drinkability, malt-oriented.</t>
  </si>
  <si>
    <t>A decidedly hoppy and bitter, refreshing and moderately strong Argentine pale ale. The clue is drinkability without harshness and best balance.</t>
  </si>
  <si>
    <t>A sometimes refreshing, sometimes more complex Italian ale characterized by different varieties of grapes.</t>
  </si>
  <si>
    <t>A refreshing fruited sour wheat beer with a vibrant fruit character and a clean lactic acidity. The restrained alcohol, light body, elevated carbonation, and lack of perceived bitterness allows the fresh fruit to be highlighted. The fruit is often, but not always, tropical in nature.</t>
  </si>
  <si>
    <t>A pale, dry, golden-colored, cleanly-fermented beer showcasing the characteristic tropical, citrusy, fruity, grassy New Zealand-type hops. Medium body, soft mouthfeel, and smooth palate and finish, with a neutral to bready malt base provide the support for this very drinkable, refreshing, hop-forward beer.</t>
  </si>
  <si>
    <t>Harvest Ale</t>
  </si>
  <si>
    <t>Pale</t>
  </si>
  <si>
    <t>NonBarley</t>
  </si>
  <si>
    <t>Caramel</t>
  </si>
  <si>
    <t>Flaked</t>
  </si>
  <si>
    <t>Roasted</t>
  </si>
  <si>
    <t>Cascade</t>
  </si>
  <si>
    <t>Pellet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</si>
</sst>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000"/>
    <numFmt numFmtId="166" formatCode="0.0&quot;°&quot;"/>
    <numFmt numFmtId="167" formatCode="0.0"/>
    <numFmt numFmtId="168" formatCode="0.0%"/>
    <numFmt numFmtId="169" formatCode="mmmm\ d\,\ yyyy"/>
    <numFmt numFmtId="170" formatCode="0&quot;°&quot;"/>
    <numFmt numFmtId="171" formatCode="[$-409]mmmm\ d\,\ yyyy;@"/>
  </numFmts>
  <fonts count="40" x14ac:knownFonts="1">
    <font>
      <sz val="10"/>
      <name val="Arial"/>
    </font>
    <font>
      <sz val="10"/>
      <color theme="1"/>
      <name val="Calibri"/>
      <family val="2"/>
      <scheme val="minor"/>
    </font>
    <font>
      <sz val="10"/>
      <color theme="1"/>
      <name val="Calibri"/>
      <family val="2"/>
      <scheme val="minor"/>
    </font>
    <font>
      <sz val="10"/>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b/>
      <sz val="14"/>
      <name val="Calibri"/>
      <family val="2"/>
      <scheme val="minor"/>
    </font>
    <font>
      <b/>
      <sz val="12"/>
      <name val="Calibri"/>
      <family val="2"/>
      <scheme val="minor"/>
    </font>
    <font>
      <sz val="10"/>
      <name val="Calibri"/>
      <family val="2"/>
      <scheme val="minor"/>
    </font>
    <font>
      <b/>
      <sz val="10"/>
      <name val="Calibri"/>
      <family val="2"/>
      <scheme val="minor"/>
    </font>
    <font>
      <b/>
      <sz val="11"/>
      <name val="Calibri"/>
      <family val="2"/>
      <scheme val="minor"/>
    </font>
    <font>
      <sz val="11"/>
      <name val="Calibri"/>
      <family val="2"/>
      <scheme val="minor"/>
    </font>
    <font>
      <i/>
      <sz val="11"/>
      <name val="Calibri"/>
      <family val="2"/>
      <scheme val="minor"/>
    </font>
    <font>
      <b/>
      <i/>
      <sz val="11"/>
      <name val="Calibri"/>
      <family val="2"/>
      <scheme val="minor"/>
    </font>
    <font>
      <b/>
      <sz val="22"/>
      <name val="Calibri"/>
      <family val="2"/>
      <scheme val="minor"/>
    </font>
    <font>
      <sz val="8"/>
      <name val="Calibri"/>
      <family val="2"/>
      <scheme val="minor"/>
    </font>
    <font>
      <sz val="10"/>
      <color indexed="8"/>
      <name val="Calibri"/>
      <family val="2"/>
      <scheme val="minor"/>
    </font>
    <font>
      <sz val="9"/>
      <name val="Calibri"/>
      <family val="2"/>
      <scheme val="minor"/>
    </font>
    <font>
      <b/>
      <sz val="7.5"/>
      <name val="Calibri"/>
      <family val="2"/>
      <scheme val="minor"/>
    </font>
    <font>
      <sz val="10"/>
      <name val="Arial"/>
      <family val="2"/>
    </font>
    <font>
      <b/>
      <sz val="11"/>
      <color theme="0"/>
      <name val="Calibri"/>
      <family val="2"/>
      <scheme val="minor"/>
    </font>
    <font>
      <sz val="11"/>
      <color theme="0"/>
      <name val="Calibri"/>
      <family val="2"/>
      <scheme val="minor"/>
    </font>
    <font>
      <b/>
      <sz val="22"/>
      <color theme="0"/>
      <name val="Calibri"/>
      <family val="2"/>
      <scheme val="minor"/>
    </font>
    <font>
      <b/>
      <sz val="12"/>
      <color theme="0"/>
      <name val="Calibri"/>
      <family val="2"/>
      <scheme val="minor"/>
    </font>
    <font>
      <b/>
      <u/>
      <sz val="11"/>
      <color theme="0"/>
      <name val="Calibri"/>
      <family val="2"/>
      <scheme val="minor"/>
    </font>
    <font>
      <i/>
      <sz val="11"/>
      <color theme="0"/>
      <name val="Calibri"/>
      <family val="2"/>
      <scheme val="minor"/>
    </font>
    <font>
      <b/>
      <i/>
      <sz val="11"/>
      <color theme="0"/>
      <name val="Calibri"/>
      <family val="2"/>
      <scheme val="minor"/>
    </font>
    <font>
      <sz val="10"/>
      <color theme="0"/>
      <name val="Arial"/>
      <family val="2"/>
    </font>
    <font>
      <b/>
      <sz val="10"/>
      <color theme="0"/>
      <name val="Calibri"/>
      <family val="2"/>
      <scheme val="minor"/>
    </font>
    <font>
      <sz val="12"/>
      <name val="Calibri"/>
      <family val="2"/>
      <scheme val="minor"/>
    </font>
    <font>
      <b/>
      <sz val="10"/>
      <color theme="1"/>
      <name val="Calibri"/>
      <family val="2"/>
      <scheme val="minor"/>
    </font>
    <font>
      <b/>
      <sz val="11"/>
      <color rgb="FFFF0000"/>
      <name val="Calibri"/>
      <family val="2"/>
      <scheme val="minor"/>
    </font>
    <font>
      <b/>
      <i/>
      <u/>
      <sz val="11"/>
      <color theme="0"/>
      <name val="Calibri"/>
      <family val="2"/>
      <scheme val="minor"/>
    </font>
    <font>
      <b/>
      <sz val="14"/>
      <color theme="0"/>
      <name val="Calibri"/>
      <family val="2"/>
      <scheme val="minor"/>
    </font>
    <font>
      <b/>
      <sz val="10.5"/>
      <name val="Calibri"/>
      <family val="2"/>
      <scheme val="minor"/>
    </font>
    <font>
      <b/>
      <i/>
      <sz val="22"/>
      <color theme="0"/>
      <name val="Calibri"/>
      <family val="2"/>
      <scheme val="minor"/>
    </font>
    <font>
      <b/>
      <i/>
      <sz val="22"/>
      <name val="Calibri"/>
      <family val="2"/>
      <scheme val="minor"/>
    </font>
    <font>
      <sz val="9"/>
      <color theme="1"/>
      <name val="Calibri"/>
      <family val="2"/>
      <scheme val="minor"/>
    </font>
  </fonts>
  <fills count="10">
    <fill>
      <patternFill patternType="none"/>
    </fill>
    <fill>
      <patternFill patternType="gray125"/>
    </fill>
    <fill>
      <patternFill patternType="solid">
        <fgColor theme="2" tint="-0.249977111117893"/>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rgb="FFFEF2E8"/>
        <bgColor indexed="64"/>
      </patternFill>
    </fill>
    <fill>
      <patternFill patternType="solid">
        <fgColor theme="0" tint="-4.9989318521683403E-2"/>
        <bgColor indexed="64"/>
      </patternFill>
    </fill>
  </fills>
  <borders count="124">
    <border>
      <left/>
      <right/>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right/>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right/>
      <top style="thin">
        <color theme="0"/>
      </top>
      <bottom/>
      <diagonal/>
    </border>
    <border>
      <left style="thin">
        <color indexed="64"/>
      </left>
      <right style="thin">
        <color indexed="64"/>
      </right>
      <top/>
      <bottom style="thin">
        <color theme="0"/>
      </bottom>
      <diagonal/>
    </border>
    <border>
      <left style="thin">
        <color indexed="64"/>
      </left>
      <right style="thin">
        <color indexed="64"/>
      </right>
      <top style="medium">
        <color indexed="64"/>
      </top>
      <bottom style="thin">
        <color indexed="64"/>
      </bottom>
      <diagonal/>
    </border>
    <border>
      <left style="thin">
        <color indexed="64"/>
      </left>
      <right/>
      <top/>
      <bottom style="thin">
        <color theme="0"/>
      </bottom>
      <diagonal/>
    </border>
    <border>
      <left/>
      <right style="thin">
        <color indexed="64"/>
      </right>
      <top/>
      <bottom style="thin">
        <color theme="0"/>
      </bottom>
      <diagonal/>
    </border>
    <border>
      <left style="thin">
        <color indexed="64"/>
      </left>
      <right style="thin">
        <color indexed="64"/>
      </right>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right/>
      <top/>
      <bottom style="thin">
        <color theme="0" tint="-0.24994659260841701"/>
      </bottom>
      <diagonal/>
    </border>
    <border>
      <left/>
      <right style="thin">
        <color indexed="64"/>
      </right>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theme="0" tint="-0.24994659260841701"/>
      </right>
      <top/>
      <bottom style="thin">
        <color theme="0" tint="-0.24994659260841701"/>
      </bottom>
      <diagonal/>
    </border>
    <border>
      <left/>
      <right style="thin">
        <color theme="0" tint="-0.24994659260841701"/>
      </right>
      <top/>
      <bottom/>
      <diagonal/>
    </border>
    <border>
      <left/>
      <right/>
      <top style="medium">
        <color indexed="64"/>
      </top>
      <bottom style="thin">
        <color theme="1" tint="0.34998626667073579"/>
      </bottom>
      <diagonal/>
    </border>
    <border>
      <left/>
      <right/>
      <top style="thin">
        <color theme="1" tint="0.34998626667073579"/>
      </top>
      <bottom style="medium">
        <color indexed="64"/>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auto="1"/>
      </left>
      <right style="thin">
        <color theme="0" tint="-0.24994659260841701"/>
      </right>
      <top style="thin">
        <color auto="1"/>
      </top>
      <bottom style="thin">
        <color theme="0" tint="-0.24994659260841701"/>
      </bottom>
      <diagonal/>
    </border>
    <border>
      <left style="thin">
        <color auto="1"/>
      </left>
      <right style="thin">
        <color theme="0" tint="-0.24994659260841701"/>
      </right>
      <top/>
      <bottom style="medium">
        <color indexed="64"/>
      </bottom>
      <diagonal/>
    </border>
    <border>
      <left style="thin">
        <color theme="0" tint="-0.24994659260841701"/>
      </left>
      <right style="thin">
        <color theme="0" tint="-0.24994659260841701"/>
      </right>
      <top/>
      <bottom style="medium">
        <color indexed="64"/>
      </bottom>
      <diagonal/>
    </border>
    <border>
      <left style="thin">
        <color auto="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right style="thin">
        <color theme="0" tint="-0.24994659260841701"/>
      </right>
      <top/>
      <bottom style="medium">
        <color indexed="64"/>
      </bottom>
      <diagonal/>
    </border>
    <border>
      <left style="thin">
        <color theme="0" tint="-0.24994659260841701"/>
      </left>
      <right style="thin">
        <color theme="0" tint="-0.24994659260841701"/>
      </right>
      <top/>
      <bottom style="thin">
        <color theme="0" tint="-0.24994659260841701"/>
      </bottom>
      <diagonal/>
    </border>
    <border>
      <left/>
      <right/>
      <top style="thin">
        <color theme="0"/>
      </top>
      <bottom style="medium">
        <color indexed="64"/>
      </bottom>
      <diagonal/>
    </border>
    <border>
      <left/>
      <right style="thin">
        <color theme="0" tint="-0.24994659260841701"/>
      </right>
      <top style="thin">
        <color theme="0" tint="-0.24994659260841701"/>
      </top>
      <bottom style="thin">
        <color theme="0" tint="-0.24994659260841701"/>
      </bottom>
      <diagonal/>
    </border>
    <border>
      <left style="thin">
        <color indexed="64"/>
      </left>
      <right/>
      <top style="thin">
        <color theme="0"/>
      </top>
      <bottom style="thin">
        <color indexed="64"/>
      </bottom>
      <diagonal/>
    </border>
    <border>
      <left/>
      <right style="thin">
        <color indexed="64"/>
      </right>
      <top style="thin">
        <color theme="0"/>
      </top>
      <bottom style="thin">
        <color indexed="6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style="thin">
        <color theme="0" tint="-0.24994659260841701"/>
      </top>
      <bottom style="thin">
        <color theme="0" tint="-0.24994659260841701"/>
      </bottom>
      <diagonal/>
    </border>
    <border>
      <left style="thin">
        <color theme="0"/>
      </left>
      <right style="medium">
        <color auto="1"/>
      </right>
      <top/>
      <bottom style="thin">
        <color theme="0"/>
      </bottom>
      <diagonal/>
    </border>
    <border>
      <left style="thin">
        <color theme="0"/>
      </left>
      <right style="medium">
        <color auto="1"/>
      </right>
      <top style="thin">
        <color theme="0"/>
      </top>
      <bottom/>
      <diagonal/>
    </border>
    <border>
      <left style="medium">
        <color auto="1"/>
      </left>
      <right/>
      <top/>
      <bottom style="medium">
        <color auto="1"/>
      </bottom>
      <diagonal/>
    </border>
    <border>
      <left style="thin">
        <color theme="0" tint="-0.24994659260841701"/>
      </left>
      <right style="medium">
        <color auto="1"/>
      </right>
      <top/>
      <bottom style="medium">
        <color auto="1"/>
      </bottom>
      <diagonal/>
    </border>
    <border>
      <left style="medium">
        <color auto="1"/>
      </left>
      <right/>
      <top style="thin">
        <color indexed="64"/>
      </top>
      <bottom style="medium">
        <color auto="1"/>
      </bottom>
      <diagonal/>
    </border>
    <border>
      <left/>
      <right style="medium">
        <color auto="1"/>
      </right>
      <top style="thin">
        <color indexed="64"/>
      </top>
      <bottom style="medium">
        <color auto="1"/>
      </bottom>
      <diagonal/>
    </border>
    <border>
      <left style="medium">
        <color auto="1"/>
      </left>
      <right/>
      <top style="thin">
        <color theme="0"/>
      </top>
      <bottom style="medium">
        <color auto="1"/>
      </bottom>
      <diagonal/>
    </border>
    <border>
      <left/>
      <right style="medium">
        <color auto="1"/>
      </right>
      <top/>
      <bottom style="medium">
        <color auto="1"/>
      </bottom>
      <diagonal/>
    </border>
    <border>
      <left/>
      <right style="medium">
        <color auto="1"/>
      </right>
      <top style="thin">
        <color theme="0"/>
      </top>
      <bottom/>
      <diagonal/>
    </border>
    <border>
      <left/>
      <right style="medium">
        <color auto="1"/>
      </right>
      <top style="thin">
        <color theme="1" tint="0.34998626667073579"/>
      </top>
      <bottom style="medium">
        <color auto="1"/>
      </bottom>
      <diagonal/>
    </border>
    <border>
      <left/>
      <right style="medium">
        <color auto="1"/>
      </right>
      <top style="thin">
        <color theme="0"/>
      </top>
      <bottom style="thin">
        <color theme="0"/>
      </bottom>
      <diagonal/>
    </border>
    <border>
      <left/>
      <right style="medium">
        <color auto="1"/>
      </right>
      <top style="thin">
        <color theme="0"/>
      </top>
      <bottom style="medium">
        <color auto="1"/>
      </bottom>
      <diagonal/>
    </border>
    <border>
      <left style="medium">
        <color auto="1"/>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medium">
        <color auto="1"/>
      </left>
      <right/>
      <top/>
      <bottom style="thin">
        <color theme="0"/>
      </bottom>
      <diagonal/>
    </border>
    <border>
      <left style="thin">
        <color indexed="64"/>
      </left>
      <right style="medium">
        <color auto="1"/>
      </right>
      <top/>
      <bottom style="thin">
        <color theme="0" tint="-0.24994659260841701"/>
      </bottom>
      <diagonal/>
    </border>
    <border>
      <left style="thin">
        <color indexed="64"/>
      </left>
      <right style="medium">
        <color auto="1"/>
      </right>
      <top style="thin">
        <color indexed="64"/>
      </top>
      <bottom style="medium">
        <color auto="1"/>
      </bottom>
      <diagonal/>
    </border>
    <border>
      <left style="medium">
        <color auto="1"/>
      </left>
      <right style="thin">
        <color indexed="64"/>
      </right>
      <top/>
      <bottom style="thin">
        <color theme="0"/>
      </bottom>
      <diagonal/>
    </border>
    <border>
      <left style="thin">
        <color indexed="64"/>
      </left>
      <right/>
      <top style="thin">
        <color theme="0"/>
      </top>
      <bottom/>
      <diagonal/>
    </border>
    <border>
      <left/>
      <right style="thin">
        <color indexed="64"/>
      </right>
      <top style="thin">
        <color theme="0"/>
      </top>
      <bottom style="thin">
        <color theme="0"/>
      </bottom>
      <diagonal/>
    </border>
    <border>
      <left/>
      <right style="medium">
        <color auto="1"/>
      </right>
      <top/>
      <bottom style="thin">
        <color theme="0"/>
      </bottom>
      <diagonal/>
    </border>
    <border>
      <left style="thin">
        <color indexed="64"/>
      </left>
      <right style="medium">
        <color indexed="64"/>
      </right>
      <top style="thin">
        <color indexed="64"/>
      </top>
      <bottom style="thin">
        <color theme="0" tint="-0.24994659260841701"/>
      </bottom>
      <diagonal/>
    </border>
    <border>
      <left style="thin">
        <color indexed="64"/>
      </left>
      <right style="medium">
        <color indexed="64"/>
      </right>
      <top style="thin">
        <color theme="0" tint="-0.24994659260841701"/>
      </top>
      <bottom style="thin">
        <color indexed="64"/>
      </bottom>
      <diagonal/>
    </border>
    <border>
      <left style="thin">
        <color theme="0" tint="-0.24994659260841701"/>
      </left>
      <right style="medium">
        <color indexed="64"/>
      </right>
      <top style="thin">
        <color auto="1"/>
      </top>
      <bottom style="thin">
        <color theme="0" tint="-0.24994659260841701"/>
      </bottom>
      <diagonal/>
    </border>
    <border>
      <left style="thin">
        <color theme="0" tint="-0.24994659260841701"/>
      </left>
      <right style="medium">
        <color indexed="64"/>
      </right>
      <top style="thin">
        <color theme="0" tint="-0.24994659260841701"/>
      </top>
      <bottom style="thin">
        <color indexed="64"/>
      </bottom>
      <diagonal/>
    </border>
    <border>
      <left/>
      <right style="thin">
        <color theme="0" tint="-0.24994659260841701"/>
      </right>
      <top style="thin">
        <color theme="0" tint="-0.24994659260841701"/>
      </top>
      <bottom/>
      <diagonal/>
    </border>
    <border>
      <left/>
      <right style="thin">
        <color indexed="64"/>
      </right>
      <top style="thin">
        <color theme="0"/>
      </top>
      <bottom/>
      <diagonal/>
    </border>
    <border>
      <left style="thin">
        <color indexed="64"/>
      </left>
      <right/>
      <top style="thin">
        <color theme="0" tint="-0.24994659260841701"/>
      </top>
      <bottom/>
      <diagonal/>
    </border>
    <border>
      <left/>
      <right style="thin">
        <color indexed="64"/>
      </right>
      <top style="thin">
        <color theme="0" tint="-0.24994659260841701"/>
      </top>
      <bottom/>
      <diagonal/>
    </border>
    <border>
      <left style="thin">
        <color indexed="64"/>
      </left>
      <right style="medium">
        <color auto="1"/>
      </right>
      <top style="thin">
        <color theme="0"/>
      </top>
      <bottom style="thin">
        <color theme="0"/>
      </bottom>
      <diagonal/>
    </border>
    <border>
      <left style="thin">
        <color indexed="64"/>
      </left>
      <right style="medium">
        <color indexed="64"/>
      </right>
      <top style="thin">
        <color indexed="64"/>
      </top>
      <bottom style="thin">
        <color indexed="64"/>
      </bottom>
      <diagonal/>
    </border>
    <border>
      <left style="thin">
        <color indexed="64"/>
      </left>
      <right style="medium">
        <color auto="1"/>
      </right>
      <top/>
      <bottom style="thin">
        <color theme="0"/>
      </bottom>
      <diagonal/>
    </border>
    <border>
      <left style="thin">
        <color theme="0" tint="-0.24994659260841701"/>
      </left>
      <right/>
      <top/>
      <bottom style="medium">
        <color auto="1"/>
      </bottom>
      <diagonal/>
    </border>
    <border>
      <left/>
      <right style="thin">
        <color theme="0" tint="-0.24994659260841701"/>
      </right>
      <top style="thin">
        <color theme="0" tint="-0.24994659260841701"/>
      </top>
      <bottom style="medium">
        <color indexed="64"/>
      </bottom>
      <diagonal/>
    </border>
    <border>
      <left style="thin">
        <color theme="0"/>
      </left>
      <right/>
      <top/>
      <bottom/>
      <diagonal/>
    </border>
    <border>
      <left/>
      <right style="medium">
        <color indexed="64"/>
      </right>
      <top style="medium">
        <color indexed="64"/>
      </top>
      <bottom style="thin">
        <color theme="0" tint="-0.24994659260841701"/>
      </bottom>
      <diagonal/>
    </border>
    <border>
      <left/>
      <right style="medium">
        <color indexed="64"/>
      </right>
      <top/>
      <bottom style="thin">
        <color theme="0" tint="-0.24994659260841701"/>
      </bottom>
      <diagonal/>
    </border>
    <border>
      <left/>
      <right/>
      <top style="medium">
        <color indexed="64"/>
      </top>
      <bottom style="thin">
        <color theme="0"/>
      </bottom>
      <diagonal/>
    </border>
    <border>
      <left/>
      <right style="medium">
        <color auto="1"/>
      </right>
      <top style="medium">
        <color indexed="64"/>
      </top>
      <bottom style="thin">
        <color theme="0"/>
      </bottom>
      <diagonal/>
    </border>
    <border>
      <left/>
      <right style="thin">
        <color theme="0"/>
      </right>
      <top style="thin">
        <color theme="0"/>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medium">
        <color indexed="64"/>
      </bottom>
      <diagonal/>
    </border>
    <border>
      <left style="thin">
        <color theme="0"/>
      </left>
      <right/>
      <top/>
      <bottom style="medium">
        <color indexed="64"/>
      </bottom>
      <diagonal/>
    </border>
    <border>
      <left style="medium">
        <color indexed="64"/>
      </left>
      <right style="thin">
        <color indexed="64"/>
      </right>
      <top style="thin">
        <color theme="0"/>
      </top>
      <bottom style="thin">
        <color indexed="64"/>
      </bottom>
      <diagonal/>
    </border>
    <border>
      <left style="medium">
        <color indexed="64"/>
      </left>
      <right style="thin">
        <color indexed="64"/>
      </right>
      <top style="thin">
        <color theme="0"/>
      </top>
      <bottom/>
      <diagonal/>
    </border>
    <border>
      <left/>
      <right style="medium">
        <color indexed="64"/>
      </right>
      <top style="medium">
        <color indexed="64"/>
      </top>
      <bottom style="thin">
        <color indexed="64"/>
      </bottom>
      <diagonal/>
    </border>
    <border>
      <left style="medium">
        <color auto="1"/>
      </left>
      <right/>
      <top style="thin">
        <color theme="0"/>
      </top>
      <bottom style="medium">
        <color theme="1"/>
      </bottom>
      <diagonal/>
    </border>
    <border>
      <left/>
      <right/>
      <top style="thin">
        <color theme="0"/>
      </top>
      <bottom style="medium">
        <color theme="1"/>
      </bottom>
      <diagonal/>
    </border>
    <border>
      <left/>
      <right style="medium">
        <color auto="1"/>
      </right>
      <top style="thin">
        <color theme="0"/>
      </top>
      <bottom style="medium">
        <color theme="1"/>
      </bottom>
      <diagonal/>
    </border>
    <border>
      <left/>
      <right/>
      <top/>
      <bottom style="medium">
        <color theme="1"/>
      </bottom>
      <diagonal/>
    </border>
  </borders>
  <cellStyleXfs count="8">
    <xf numFmtId="0" fontId="0" fillId="0" borderId="0"/>
    <xf numFmtId="0" fontId="7" fillId="0" borderId="0" applyNumberFormat="0" applyFill="0" applyBorder="0" applyAlignment="0" applyProtection="0">
      <alignment vertical="top"/>
      <protection locked="0"/>
    </xf>
    <xf numFmtId="9" fontId="5" fillId="0" borderId="0" applyFont="0" applyFill="0" applyBorder="0" applyAlignment="0" applyProtection="0"/>
    <xf numFmtId="0" fontId="21" fillId="0" borderId="0"/>
    <xf numFmtId="0" fontId="3" fillId="0" borderId="0"/>
    <xf numFmtId="0" fontId="5" fillId="0" borderId="0"/>
    <xf numFmtId="0" fontId="2" fillId="0" borderId="0"/>
    <xf numFmtId="0" fontId="2" fillId="0" borderId="0"/>
  </cellStyleXfs>
  <cellXfs count="634">
    <xf numFmtId="0" fontId="0" fillId="0" borderId="0" xfId="0"/>
    <xf numFmtId="0" fontId="10" fillId="0" borderId="0" xfId="0" applyFont="1" applyProtection="1">
      <protection locked="0"/>
    </xf>
    <xf numFmtId="166" fontId="10" fillId="0" borderId="0" xfId="0" applyNumberFormat="1" applyFont="1" applyFill="1" applyAlignment="1" applyProtection="1">
      <alignment horizontal="center"/>
      <protection locked="0"/>
    </xf>
    <xf numFmtId="0" fontId="10" fillId="0" borderId="0" xfId="0" applyFont="1" applyFill="1" applyAlignment="1" applyProtection="1">
      <protection locked="0"/>
    </xf>
    <xf numFmtId="1" fontId="10" fillId="0" borderId="0" xfId="0" applyNumberFormat="1" applyFont="1" applyFill="1" applyAlignment="1" applyProtection="1">
      <alignment horizontal="center"/>
      <protection locked="0"/>
    </xf>
    <xf numFmtId="0" fontId="8" fillId="0" borderId="0" xfId="0" applyFont="1" applyAlignment="1" applyProtection="1">
      <alignment horizontal="left"/>
      <protection locked="0"/>
    </xf>
    <xf numFmtId="2" fontId="10" fillId="0" borderId="0" xfId="0" applyNumberFormat="1" applyFont="1" applyAlignment="1" applyProtection="1">
      <alignment horizontal="center"/>
      <protection locked="0"/>
    </xf>
    <xf numFmtId="49" fontId="10" fillId="0" borderId="0" xfId="0" applyNumberFormat="1" applyFont="1" applyProtection="1">
      <protection locked="0"/>
    </xf>
    <xf numFmtId="0" fontId="23" fillId="3" borderId="0" xfId="0" applyFont="1" applyFill="1" applyProtection="1">
      <protection hidden="1"/>
    </xf>
    <xf numFmtId="165" fontId="23" fillId="3" borderId="0" xfId="0" applyNumberFormat="1" applyFont="1" applyFill="1" applyProtection="1">
      <protection hidden="1"/>
    </xf>
    <xf numFmtId="0" fontId="23" fillId="3" borderId="0" xfId="0" applyFont="1" applyFill="1" applyBorder="1" applyProtection="1">
      <protection hidden="1"/>
    </xf>
    <xf numFmtId="0" fontId="23" fillId="3" borderId="0" xfId="0" applyFont="1" applyFill="1" applyAlignment="1" applyProtection="1">
      <alignment vertical="center" wrapText="1"/>
      <protection hidden="1"/>
    </xf>
    <xf numFmtId="2" fontId="23" fillId="3" borderId="0" xfId="0" applyNumberFormat="1" applyFont="1" applyFill="1" applyBorder="1" applyAlignment="1" applyProtection="1">
      <alignment horizontal="center"/>
      <protection hidden="1"/>
    </xf>
    <xf numFmtId="0" fontId="22" fillId="3" borderId="1" xfId="0" applyFont="1" applyFill="1" applyBorder="1" applyProtection="1">
      <protection hidden="1"/>
    </xf>
    <xf numFmtId="2" fontId="23" fillId="3" borderId="1" xfId="0" applyNumberFormat="1" applyFont="1" applyFill="1" applyBorder="1" applyProtection="1">
      <protection hidden="1"/>
    </xf>
    <xf numFmtId="0" fontId="23" fillId="3" borderId="1" xfId="0" applyFont="1" applyFill="1" applyBorder="1" applyProtection="1">
      <protection hidden="1"/>
    </xf>
    <xf numFmtId="0" fontId="22" fillId="3" borderId="1" xfId="0" applyFont="1" applyFill="1" applyBorder="1" applyAlignment="1" applyProtection="1">
      <protection hidden="1"/>
    </xf>
    <xf numFmtId="0" fontId="22" fillId="3" borderId="1" xfId="0" applyFont="1" applyFill="1" applyBorder="1" applyAlignment="1" applyProtection="1">
      <alignment horizontal="left"/>
      <protection hidden="1"/>
    </xf>
    <xf numFmtId="0" fontId="23" fillId="3" borderId="0" xfId="0" applyFont="1" applyFill="1" applyAlignment="1" applyProtection="1">
      <alignment horizontal="right"/>
      <protection hidden="1"/>
    </xf>
    <xf numFmtId="0" fontId="22" fillId="3" borderId="30" xfId="0" applyFont="1" applyFill="1" applyBorder="1" applyAlignment="1" applyProtection="1">
      <alignment horizontal="center"/>
      <protection hidden="1"/>
    </xf>
    <xf numFmtId="2" fontId="22" fillId="3" borderId="30" xfId="0" applyNumberFormat="1" applyFont="1" applyFill="1" applyBorder="1" applyAlignment="1" applyProtection="1">
      <alignment horizontal="center"/>
      <protection hidden="1"/>
    </xf>
    <xf numFmtId="0" fontId="22" fillId="3" borderId="30" xfId="0" applyFont="1" applyFill="1" applyBorder="1" applyAlignment="1" applyProtection="1">
      <alignment horizontal="center" vertical="center"/>
      <protection hidden="1"/>
    </xf>
    <xf numFmtId="0" fontId="23" fillId="3" borderId="24" xfId="0" applyFont="1" applyFill="1" applyBorder="1" applyAlignment="1" applyProtection="1">
      <alignment horizontal="center"/>
      <protection hidden="1"/>
    </xf>
    <xf numFmtId="0" fontId="28" fillId="3" borderId="24" xfId="0" applyFont="1" applyFill="1" applyBorder="1" applyAlignment="1" applyProtection="1">
      <alignment horizontal="center"/>
      <protection hidden="1"/>
    </xf>
    <xf numFmtId="0" fontId="28" fillId="3" borderId="9" xfId="0" applyFont="1" applyFill="1" applyBorder="1" applyAlignment="1" applyProtection="1">
      <alignment horizontal="right"/>
      <protection hidden="1"/>
    </xf>
    <xf numFmtId="2" fontId="23" fillId="3" borderId="24" xfId="0" applyNumberFormat="1" applyFont="1" applyFill="1" applyBorder="1" applyAlignment="1" applyProtection="1">
      <alignment horizontal="center"/>
      <protection hidden="1"/>
    </xf>
    <xf numFmtId="0" fontId="22" fillId="3" borderId="0" xfId="0" applyFont="1" applyFill="1" applyBorder="1" applyProtection="1">
      <protection hidden="1"/>
    </xf>
    <xf numFmtId="164" fontId="23" fillId="3" borderId="33" xfId="0" applyNumberFormat="1" applyFont="1" applyFill="1" applyBorder="1" applyAlignment="1" applyProtection="1">
      <alignment horizontal="center"/>
      <protection hidden="1"/>
    </xf>
    <xf numFmtId="166" fontId="23" fillId="3" borderId="33" xfId="0" applyNumberFormat="1" applyFont="1" applyFill="1" applyBorder="1" applyAlignment="1" applyProtection="1">
      <alignment horizontal="center"/>
      <protection hidden="1"/>
    </xf>
    <xf numFmtId="166" fontId="23" fillId="3" borderId="2" xfId="0" applyNumberFormat="1" applyFont="1" applyFill="1" applyBorder="1" applyAlignment="1" applyProtection="1">
      <alignment horizontal="center"/>
      <protection hidden="1"/>
    </xf>
    <xf numFmtId="0" fontId="26" fillId="3" borderId="0" xfId="0" applyFont="1" applyFill="1" applyBorder="1" applyAlignment="1" applyProtection="1">
      <alignment horizontal="center"/>
      <protection hidden="1"/>
    </xf>
    <xf numFmtId="0" fontId="25" fillId="3" borderId="0" xfId="1" applyFont="1" applyFill="1" applyAlignment="1" applyProtection="1">
      <alignment horizontal="right"/>
      <protection locked="0" hidden="1"/>
    </xf>
    <xf numFmtId="2" fontId="22" fillId="3" borderId="0" xfId="0" applyNumberFormat="1" applyFont="1" applyFill="1" applyBorder="1" applyAlignment="1" applyProtection="1">
      <alignment horizontal="center"/>
      <protection hidden="1"/>
    </xf>
    <xf numFmtId="2" fontId="23" fillId="3" borderId="33" xfId="0" applyNumberFormat="1" applyFont="1" applyFill="1" applyBorder="1" applyAlignment="1" applyProtection="1">
      <alignment horizontal="center"/>
      <protection hidden="1"/>
    </xf>
    <xf numFmtId="1" fontId="23" fillId="3" borderId="2" xfId="0" applyNumberFormat="1" applyFont="1" applyFill="1" applyBorder="1" applyAlignment="1" applyProtection="1">
      <alignment horizontal="center"/>
      <protection hidden="1"/>
    </xf>
    <xf numFmtId="0" fontId="13" fillId="5" borderId="29" xfId="0" applyFont="1" applyFill="1" applyBorder="1" applyAlignment="1" applyProtection="1">
      <alignment horizontal="center"/>
      <protection locked="0"/>
    </xf>
    <xf numFmtId="168" fontId="13" fillId="5" borderId="29" xfId="0" applyNumberFormat="1" applyFont="1" applyFill="1" applyBorder="1" applyAlignment="1" applyProtection="1">
      <alignment horizontal="center"/>
      <protection locked="0"/>
    </xf>
    <xf numFmtId="2" fontId="13" fillId="5" borderId="29" xfId="0" applyNumberFormat="1" applyFont="1" applyFill="1" applyBorder="1" applyAlignment="1" applyProtection="1">
      <alignment horizontal="center"/>
      <protection locked="0"/>
    </xf>
    <xf numFmtId="2" fontId="13" fillId="4" borderId="33" xfId="0" applyNumberFormat="1" applyFont="1" applyFill="1" applyBorder="1" applyAlignment="1" applyProtection="1">
      <alignment horizontal="center"/>
      <protection hidden="1"/>
    </xf>
    <xf numFmtId="166" fontId="13" fillId="4" borderId="33" xfId="0" applyNumberFormat="1" applyFont="1" applyFill="1" applyBorder="1" applyAlignment="1" applyProtection="1">
      <alignment horizontal="center"/>
      <protection hidden="1"/>
    </xf>
    <xf numFmtId="9" fontId="23" fillId="3" borderId="0" xfId="0" applyNumberFormat="1" applyFont="1" applyFill="1" applyBorder="1" applyAlignment="1" applyProtection="1">
      <alignment horizontal="center"/>
      <protection hidden="1"/>
    </xf>
    <xf numFmtId="2" fontId="13" fillId="4" borderId="0" xfId="0" applyNumberFormat="1" applyFont="1" applyFill="1" applyBorder="1" applyAlignment="1" applyProtection="1">
      <alignment horizontal="center"/>
      <protection hidden="1"/>
    </xf>
    <xf numFmtId="0" fontId="23" fillId="3" borderId="22" xfId="0" applyFont="1" applyFill="1" applyBorder="1" applyProtection="1">
      <protection hidden="1"/>
    </xf>
    <xf numFmtId="0" fontId="22" fillId="3" borderId="0" xfId="0" applyFont="1" applyFill="1" applyAlignment="1" applyProtection="1">
      <alignment horizontal="right"/>
      <protection hidden="1"/>
    </xf>
    <xf numFmtId="0" fontId="23" fillId="3" borderId="49" xfId="0" applyFont="1" applyFill="1" applyBorder="1" applyProtection="1">
      <protection hidden="1"/>
    </xf>
    <xf numFmtId="0" fontId="13" fillId="5" borderId="22" xfId="0" applyFont="1" applyFill="1" applyBorder="1" applyAlignment="1" applyProtection="1">
      <alignment horizontal="center"/>
      <protection locked="0" hidden="1"/>
    </xf>
    <xf numFmtId="167" fontId="13" fillId="8" borderId="1" xfId="0" applyNumberFormat="1" applyFont="1" applyFill="1" applyBorder="1" applyAlignment="1" applyProtection="1">
      <alignment horizontal="center"/>
      <protection hidden="1"/>
    </xf>
    <xf numFmtId="167" fontId="23" fillId="3" borderId="1" xfId="0" applyNumberFormat="1" applyFont="1" applyFill="1" applyBorder="1" applyAlignment="1" applyProtection="1">
      <alignment horizontal="center"/>
      <protection hidden="1"/>
    </xf>
    <xf numFmtId="167" fontId="23" fillId="3" borderId="0" xfId="0" applyNumberFormat="1" applyFont="1" applyFill="1" applyBorder="1" applyAlignment="1" applyProtection="1">
      <alignment horizontal="center"/>
      <protection hidden="1"/>
    </xf>
    <xf numFmtId="0" fontId="22" fillId="3" borderId="30" xfId="0" applyFont="1" applyFill="1" applyBorder="1" applyAlignment="1" applyProtection="1">
      <alignment horizontal="center" vertical="center"/>
      <protection locked="0" hidden="1"/>
    </xf>
    <xf numFmtId="0" fontId="23" fillId="3" borderId="0" xfId="0" applyFont="1" applyFill="1" applyBorder="1" applyAlignment="1" applyProtection="1">
      <alignment horizontal="right"/>
      <protection hidden="1"/>
    </xf>
    <xf numFmtId="2" fontId="23" fillId="3" borderId="1" xfId="0" applyNumberFormat="1" applyFont="1" applyFill="1" applyBorder="1" applyAlignment="1" applyProtection="1">
      <alignment horizontal="left"/>
      <protection hidden="1"/>
    </xf>
    <xf numFmtId="0" fontId="22" fillId="3" borderId="0" xfId="1" applyFont="1" applyFill="1" applyAlignment="1" applyProtection="1">
      <protection hidden="1"/>
    </xf>
    <xf numFmtId="166" fontId="13" fillId="5" borderId="0" xfId="0" applyNumberFormat="1" applyFont="1" applyFill="1" applyBorder="1" applyAlignment="1" applyProtection="1">
      <alignment horizontal="center"/>
      <protection locked="0"/>
    </xf>
    <xf numFmtId="166" fontId="13" fillId="5" borderId="26" xfId="0" applyNumberFormat="1" applyFont="1" applyFill="1" applyBorder="1" applyAlignment="1" applyProtection="1">
      <alignment horizontal="center"/>
      <protection locked="0"/>
    </xf>
    <xf numFmtId="164" fontId="13" fillId="4" borderId="46" xfId="0" applyNumberFormat="1" applyFont="1" applyFill="1" applyBorder="1" applyAlignment="1" applyProtection="1">
      <alignment horizontal="center"/>
      <protection hidden="1"/>
    </xf>
    <xf numFmtId="2" fontId="13" fillId="4" borderId="64" xfId="0" applyNumberFormat="1" applyFont="1" applyFill="1" applyBorder="1" applyAlignment="1" applyProtection="1">
      <alignment horizontal="center"/>
      <protection hidden="1"/>
    </xf>
    <xf numFmtId="167" fontId="13" fillId="4" borderId="44" xfId="0" applyNumberFormat="1" applyFont="1" applyFill="1" applyBorder="1" applyAlignment="1" applyProtection="1">
      <alignment horizontal="center"/>
      <protection hidden="1"/>
    </xf>
    <xf numFmtId="2" fontId="13" fillId="4" borderId="41" xfId="0" applyNumberFormat="1" applyFont="1" applyFill="1" applyBorder="1" applyAlignment="1" applyProtection="1">
      <alignment horizontal="center"/>
      <protection hidden="1"/>
    </xf>
    <xf numFmtId="167" fontId="13" fillId="4" borderId="42" xfId="0" applyNumberFormat="1" applyFont="1" applyFill="1" applyBorder="1" applyAlignment="1" applyProtection="1">
      <alignment horizontal="center"/>
      <protection hidden="1"/>
    </xf>
    <xf numFmtId="167" fontId="13" fillId="8" borderId="38" xfId="0" applyNumberFormat="1" applyFont="1" applyFill="1" applyBorder="1" applyAlignment="1" applyProtection="1">
      <alignment horizontal="center"/>
      <protection hidden="1"/>
    </xf>
    <xf numFmtId="0" fontId="23" fillId="3" borderId="24" xfId="0" applyFont="1" applyFill="1" applyBorder="1" applyProtection="1">
      <protection hidden="1"/>
    </xf>
    <xf numFmtId="166" fontId="23" fillId="3" borderId="0" xfId="0" applyNumberFormat="1" applyFont="1" applyFill="1" applyBorder="1" applyAlignment="1" applyProtection="1">
      <alignment horizontal="center"/>
      <protection hidden="1"/>
    </xf>
    <xf numFmtId="166" fontId="13" fillId="5" borderId="1" xfId="0" applyNumberFormat="1" applyFont="1" applyFill="1" applyBorder="1" applyAlignment="1" applyProtection="1">
      <alignment horizontal="center"/>
      <protection locked="0" hidden="1"/>
    </xf>
    <xf numFmtId="167" fontId="13" fillId="5" borderId="50" xfId="0" applyNumberFormat="1" applyFont="1" applyFill="1" applyBorder="1" applyAlignment="1" applyProtection="1">
      <alignment horizontal="center"/>
      <protection locked="0"/>
    </xf>
    <xf numFmtId="167" fontId="13" fillId="5" borderId="51" xfId="0" applyNumberFormat="1" applyFont="1" applyFill="1" applyBorder="1" applyAlignment="1" applyProtection="1">
      <alignment horizontal="center"/>
      <protection locked="0"/>
    </xf>
    <xf numFmtId="167" fontId="13" fillId="5" borderId="52" xfId="0" applyNumberFormat="1" applyFont="1" applyFill="1" applyBorder="1" applyAlignment="1" applyProtection="1">
      <alignment horizontal="center"/>
      <protection locked="0"/>
    </xf>
    <xf numFmtId="167" fontId="13" fillId="5" borderId="53" xfId="0" applyNumberFormat="1" applyFont="1" applyFill="1" applyBorder="1" applyAlignment="1" applyProtection="1">
      <alignment horizontal="center"/>
      <protection locked="0"/>
    </xf>
    <xf numFmtId="167" fontId="13" fillId="5" borderId="54" xfId="0" applyNumberFormat="1" applyFont="1" applyFill="1" applyBorder="1" applyAlignment="1" applyProtection="1">
      <alignment horizontal="center"/>
      <protection locked="0"/>
    </xf>
    <xf numFmtId="167" fontId="13" fillId="5" borderId="55" xfId="0" applyNumberFormat="1" applyFont="1" applyFill="1" applyBorder="1" applyAlignment="1" applyProtection="1">
      <alignment horizontal="center"/>
      <protection locked="0"/>
    </xf>
    <xf numFmtId="167" fontId="23" fillId="3" borderId="59" xfId="0" applyNumberFormat="1" applyFont="1" applyFill="1" applyBorder="1" applyAlignment="1" applyProtection="1">
      <alignment horizontal="center"/>
      <protection hidden="1"/>
    </xf>
    <xf numFmtId="167" fontId="23" fillId="3" borderId="60" xfId="0" applyNumberFormat="1" applyFont="1" applyFill="1" applyBorder="1" applyAlignment="1" applyProtection="1">
      <alignment horizontal="center"/>
      <protection hidden="1"/>
    </xf>
    <xf numFmtId="0" fontId="9" fillId="0" borderId="13" xfId="0" applyFont="1" applyBorder="1" applyAlignment="1" applyProtection="1">
      <alignment horizontal="center" vertical="center"/>
      <protection locked="0"/>
    </xf>
    <xf numFmtId="0" fontId="9" fillId="0" borderId="21" xfId="0" applyFont="1" applyBorder="1" applyAlignment="1" applyProtection="1">
      <alignment horizontal="center"/>
      <protection locked="0"/>
    </xf>
    <xf numFmtId="0" fontId="9" fillId="0" borderId="23" xfId="0" applyFont="1" applyBorder="1" applyAlignment="1" applyProtection="1">
      <alignment horizontal="center"/>
      <protection locked="0"/>
    </xf>
    <xf numFmtId="0" fontId="11" fillId="2" borderId="18" xfId="0" applyFont="1" applyFill="1" applyBorder="1" applyAlignment="1" applyProtection="1">
      <alignment vertical="top"/>
      <protection locked="0"/>
    </xf>
    <xf numFmtId="0" fontId="11" fillId="2" borderId="19" xfId="0" applyFont="1" applyFill="1" applyBorder="1" applyAlignment="1" applyProtection="1">
      <alignment vertical="top"/>
      <protection locked="0"/>
    </xf>
    <xf numFmtId="0" fontId="11" fillId="2" borderId="20" xfId="0" applyFont="1" applyFill="1" applyBorder="1" applyAlignment="1" applyProtection="1">
      <alignment vertical="top"/>
      <protection locked="0"/>
    </xf>
    <xf numFmtId="0" fontId="10" fillId="0" borderId="18" xfId="0" applyFont="1" applyBorder="1" applyAlignment="1" applyProtection="1">
      <alignment horizontal="justify" vertical="top"/>
      <protection locked="0"/>
    </xf>
    <xf numFmtId="0" fontId="19" fillId="0" borderId="19" xfId="0" applyFont="1" applyBorder="1" applyAlignment="1" applyProtection="1">
      <alignment horizontal="left"/>
      <protection locked="0"/>
    </xf>
    <xf numFmtId="49" fontId="19" fillId="0" borderId="19" xfId="0" applyNumberFormat="1" applyFont="1" applyBorder="1" applyAlignment="1" applyProtection="1">
      <alignment horizontal="left"/>
      <protection locked="0"/>
    </xf>
    <xf numFmtId="0" fontId="10" fillId="2" borderId="19" xfId="0" applyFont="1" applyFill="1" applyBorder="1" applyAlignment="1" applyProtection="1">
      <alignment vertical="top"/>
      <protection locked="0"/>
    </xf>
    <xf numFmtId="0" fontId="13" fillId="0" borderId="0" xfId="5" applyFont="1" applyProtection="1">
      <protection hidden="1"/>
    </xf>
    <xf numFmtId="165" fontId="13" fillId="0" borderId="0" xfId="5" applyNumberFormat="1" applyFont="1" applyProtection="1">
      <protection hidden="1"/>
    </xf>
    <xf numFmtId="2" fontId="13" fillId="0" borderId="9" xfId="5" applyNumberFormat="1" applyFont="1" applyBorder="1" applyAlignment="1" applyProtection="1">
      <alignment horizontal="center"/>
      <protection hidden="1"/>
    </xf>
    <xf numFmtId="2" fontId="13" fillId="0" borderId="24" xfId="5" applyNumberFormat="1" applyFont="1" applyBorder="1" applyAlignment="1" applyProtection="1">
      <alignment horizontal="center"/>
      <protection hidden="1"/>
    </xf>
    <xf numFmtId="0" fontId="15" fillId="0" borderId="9" xfId="5" applyFont="1" applyFill="1" applyBorder="1" applyAlignment="1" applyProtection="1">
      <alignment horizontal="right"/>
      <protection hidden="1"/>
    </xf>
    <xf numFmtId="0" fontId="13" fillId="0" borderId="24" xfId="5" applyFont="1" applyBorder="1" applyAlignment="1" applyProtection="1">
      <alignment horizontal="center"/>
      <protection hidden="1"/>
    </xf>
    <xf numFmtId="0" fontId="17" fillId="0" borderId="6" xfId="5" applyFont="1" applyFill="1" applyBorder="1" applyAlignment="1" applyProtection="1">
      <alignment horizontal="left"/>
      <protection hidden="1"/>
    </xf>
    <xf numFmtId="2" fontId="13" fillId="0" borderId="33" xfId="5" applyNumberFormat="1" applyFont="1" applyBorder="1" applyAlignment="1" applyProtection="1">
      <alignment horizontal="center"/>
      <protection hidden="1"/>
    </xf>
    <xf numFmtId="2" fontId="13" fillId="0" borderId="34" xfId="5" applyNumberFormat="1" applyFont="1" applyFill="1" applyBorder="1" applyAlignment="1" applyProtection="1">
      <alignment horizontal="center"/>
      <protection hidden="1"/>
    </xf>
    <xf numFmtId="168" fontId="13" fillId="0" borderId="33" xfId="5" applyNumberFormat="1" applyFont="1" applyFill="1" applyBorder="1" applyAlignment="1" applyProtection="1">
      <alignment horizontal="center"/>
      <protection hidden="1"/>
    </xf>
    <xf numFmtId="168" fontId="13" fillId="0" borderId="34" xfId="5" applyNumberFormat="1" applyFont="1" applyFill="1" applyBorder="1" applyAlignment="1" applyProtection="1">
      <alignment horizontal="center"/>
      <protection hidden="1"/>
    </xf>
    <xf numFmtId="0" fontId="13" fillId="0" borderId="34" xfId="5" applyFont="1" applyFill="1" applyBorder="1" applyAlignment="1" applyProtection="1">
      <alignment horizontal="center"/>
      <protection hidden="1"/>
    </xf>
    <xf numFmtId="2" fontId="13" fillId="0" borderId="33" xfId="5" applyNumberFormat="1" applyFont="1" applyFill="1" applyBorder="1" applyAlignment="1" applyProtection="1">
      <alignment horizontal="center"/>
      <protection hidden="1"/>
    </xf>
    <xf numFmtId="0" fontId="13" fillId="0" borderId="33" xfId="5" applyFont="1" applyFill="1" applyBorder="1" applyAlignment="1" applyProtection="1">
      <alignment horizontal="center"/>
      <protection hidden="1"/>
    </xf>
    <xf numFmtId="0" fontId="12" fillId="0" borderId="30" xfId="5" applyFont="1" applyBorder="1" applyAlignment="1" applyProtection="1">
      <alignment horizontal="center" vertical="center"/>
      <protection hidden="1"/>
    </xf>
    <xf numFmtId="0" fontId="13" fillId="0" borderId="1" xfId="5" applyFont="1" applyFill="1" applyBorder="1" applyAlignment="1" applyProtection="1">
      <alignment horizontal="centerContinuous"/>
      <protection hidden="1"/>
    </xf>
    <xf numFmtId="0" fontId="12" fillId="0" borderId="0" xfId="5" applyFont="1" applyFill="1" applyBorder="1" applyProtection="1">
      <protection hidden="1"/>
    </xf>
    <xf numFmtId="166" fontId="13" fillId="0" borderId="33" xfId="5" applyNumberFormat="1" applyFont="1" applyFill="1" applyBorder="1" applyAlignment="1" applyProtection="1">
      <alignment horizontal="center"/>
      <protection hidden="1"/>
    </xf>
    <xf numFmtId="0" fontId="13" fillId="0" borderId="33" xfId="5" applyNumberFormat="1" applyFont="1" applyFill="1" applyBorder="1" applyAlignment="1" applyProtection="1">
      <alignment horizontal="center"/>
      <protection hidden="1"/>
    </xf>
    <xf numFmtId="0" fontId="13" fillId="0" borderId="0" xfId="5" applyFont="1" applyBorder="1" applyProtection="1">
      <protection hidden="1"/>
    </xf>
    <xf numFmtId="0" fontId="12" fillId="0" borderId="30" xfId="5" applyFont="1" applyBorder="1" applyAlignment="1" applyProtection="1">
      <alignment horizontal="center"/>
      <protection hidden="1"/>
    </xf>
    <xf numFmtId="2" fontId="12" fillId="0" borderId="30" xfId="5" applyNumberFormat="1" applyFont="1" applyBorder="1" applyAlignment="1" applyProtection="1">
      <alignment horizontal="center"/>
      <protection hidden="1"/>
    </xf>
    <xf numFmtId="2" fontId="13" fillId="0" borderId="1" xfId="5" applyNumberFormat="1" applyFont="1" applyFill="1" applyBorder="1" applyProtection="1">
      <protection hidden="1"/>
    </xf>
    <xf numFmtId="0" fontId="12" fillId="0" borderId="1" xfId="5" applyFont="1" applyFill="1" applyBorder="1" applyProtection="1">
      <protection hidden="1"/>
    </xf>
    <xf numFmtId="0" fontId="13" fillId="0" borderId="7" xfId="5" applyFont="1" applyFill="1" applyBorder="1" applyAlignment="1" applyProtection="1">
      <alignment horizontal="center"/>
      <protection hidden="1"/>
    </xf>
    <xf numFmtId="0" fontId="13" fillId="0" borderId="16" xfId="5" applyFont="1" applyFill="1" applyBorder="1" applyAlignment="1" applyProtection="1">
      <alignment horizontal="center"/>
      <protection hidden="1"/>
    </xf>
    <xf numFmtId="170" fontId="13" fillId="9" borderId="5" xfId="2" applyNumberFormat="1" applyFont="1" applyFill="1" applyBorder="1" applyAlignment="1" applyProtection="1">
      <alignment horizontal="center"/>
      <protection locked="0" hidden="1"/>
    </xf>
    <xf numFmtId="168" fontId="13" fillId="0" borderId="15" xfId="2" applyNumberFormat="1" applyFont="1" applyFill="1" applyBorder="1" applyAlignment="1" applyProtection="1">
      <alignment horizontal="center"/>
      <protection hidden="1"/>
    </xf>
    <xf numFmtId="9" fontId="13" fillId="0" borderId="0" xfId="5" applyNumberFormat="1" applyFont="1" applyFill="1" applyBorder="1" applyAlignment="1" applyProtection="1">
      <alignment horizontal="center"/>
      <protection hidden="1"/>
    </xf>
    <xf numFmtId="0" fontId="13" fillId="0" borderId="0" xfId="5" applyFont="1" applyFill="1" applyBorder="1" applyAlignment="1" applyProtection="1">
      <alignment horizontal="center"/>
      <protection hidden="1"/>
    </xf>
    <xf numFmtId="9" fontId="13" fillId="0" borderId="14" xfId="2" applyFont="1" applyFill="1" applyBorder="1" applyAlignment="1" applyProtection="1">
      <alignment horizontal="center"/>
      <protection hidden="1"/>
    </xf>
    <xf numFmtId="164" fontId="13" fillId="0" borderId="0" xfId="5" applyNumberFormat="1" applyFont="1" applyFill="1" applyBorder="1" applyAlignment="1" applyProtection="1">
      <alignment horizontal="center"/>
      <protection hidden="1"/>
    </xf>
    <xf numFmtId="167" fontId="13" fillId="9" borderId="0" xfId="5" applyNumberFormat="1" applyFont="1" applyFill="1" applyBorder="1" applyAlignment="1" applyProtection="1">
      <alignment horizontal="center"/>
      <protection locked="0" hidden="1"/>
    </xf>
    <xf numFmtId="0" fontId="12" fillId="0" borderId="20" xfId="5" applyFont="1" applyBorder="1" applyAlignment="1" applyProtection="1">
      <alignment horizontal="center"/>
      <protection hidden="1"/>
    </xf>
    <xf numFmtId="0" fontId="12" fillId="0" borderId="19" xfId="5" applyFont="1" applyBorder="1" applyAlignment="1" applyProtection="1">
      <alignment horizontal="center"/>
      <protection hidden="1"/>
    </xf>
    <xf numFmtId="0" fontId="8" fillId="0" borderId="0" xfId="5" applyFont="1" applyBorder="1" applyAlignment="1" applyProtection="1">
      <protection hidden="1"/>
    </xf>
    <xf numFmtId="168" fontId="13" fillId="0" borderId="7" xfId="2" applyNumberFormat="1" applyFont="1" applyFill="1" applyBorder="1" applyAlignment="1" applyProtection="1">
      <alignment horizontal="center"/>
      <protection hidden="1"/>
    </xf>
    <xf numFmtId="9" fontId="13" fillId="0" borderId="16" xfId="5" applyNumberFormat="1" applyFont="1" applyFill="1" applyBorder="1" applyAlignment="1" applyProtection="1">
      <alignment horizontal="center"/>
      <protection hidden="1"/>
    </xf>
    <xf numFmtId="9" fontId="13" fillId="0" borderId="5" xfId="5" applyNumberFormat="1" applyFont="1" applyFill="1" applyBorder="1" applyAlignment="1" applyProtection="1">
      <alignment horizontal="center"/>
      <protection hidden="1"/>
    </xf>
    <xf numFmtId="0" fontId="12" fillId="0" borderId="18" xfId="5" applyFont="1" applyBorder="1" applyAlignment="1" applyProtection="1">
      <alignment horizontal="center"/>
      <protection hidden="1"/>
    </xf>
    <xf numFmtId="167" fontId="13" fillId="9" borderId="5" xfId="5" applyNumberFormat="1" applyFont="1" applyFill="1" applyBorder="1" applyAlignment="1" applyProtection="1">
      <alignment horizontal="center"/>
      <protection locked="0" hidden="1"/>
    </xf>
    <xf numFmtId="9" fontId="13" fillId="0" borderId="16" xfId="2" applyFont="1" applyFill="1" applyBorder="1" applyAlignment="1" applyProtection="1">
      <alignment horizontal="center"/>
      <protection hidden="1"/>
    </xf>
    <xf numFmtId="164" fontId="13" fillId="0" borderId="16" xfId="5" applyNumberFormat="1" applyFont="1" applyFill="1" applyBorder="1" applyAlignment="1" applyProtection="1">
      <alignment horizontal="center"/>
      <protection hidden="1"/>
    </xf>
    <xf numFmtId="167" fontId="13" fillId="0" borderId="0" xfId="5" applyNumberFormat="1" applyFont="1" applyFill="1" applyBorder="1" applyAlignment="1" applyProtection="1">
      <alignment horizontal="center"/>
      <protection hidden="1"/>
    </xf>
    <xf numFmtId="9" fontId="13" fillId="0" borderId="0" xfId="2" applyFont="1" applyFill="1" applyBorder="1" applyAlignment="1" applyProtection="1">
      <alignment horizontal="center"/>
      <protection hidden="1"/>
    </xf>
    <xf numFmtId="164" fontId="13" fillId="0" borderId="14" xfId="5" applyNumberFormat="1" applyFont="1" applyFill="1" applyBorder="1" applyAlignment="1" applyProtection="1">
      <alignment horizontal="center"/>
      <protection hidden="1"/>
    </xf>
    <xf numFmtId="2" fontId="13" fillId="0" borderId="0" xfId="5" applyNumberFormat="1" applyFont="1" applyFill="1" applyBorder="1" applyAlignment="1" applyProtection="1">
      <alignment horizontal="center"/>
      <protection hidden="1"/>
    </xf>
    <xf numFmtId="167" fontId="13" fillId="9" borderId="14" xfId="5" applyNumberFormat="1" applyFont="1" applyFill="1" applyBorder="1" applyAlignment="1" applyProtection="1">
      <alignment horizontal="center"/>
      <protection locked="0" hidden="1"/>
    </xf>
    <xf numFmtId="9" fontId="13" fillId="0" borderId="14" xfId="2" applyNumberFormat="1" applyFont="1" applyFill="1" applyBorder="1" applyAlignment="1" applyProtection="1">
      <alignment horizontal="center"/>
      <protection hidden="1"/>
    </xf>
    <xf numFmtId="0" fontId="12" fillId="0" borderId="16" xfId="5" applyFont="1" applyBorder="1" applyAlignment="1" applyProtection="1">
      <alignment horizontal="center"/>
      <protection hidden="1"/>
    </xf>
    <xf numFmtId="0" fontId="12" fillId="0" borderId="0" xfId="5" applyFont="1" applyBorder="1" applyProtection="1">
      <protection hidden="1"/>
    </xf>
    <xf numFmtId="0" fontId="12" fillId="0" borderId="0" xfId="5" applyFont="1" applyAlignment="1" applyProtection="1">
      <alignment horizontal="center"/>
      <protection hidden="1"/>
    </xf>
    <xf numFmtId="0" fontId="9" fillId="0" borderId="0" xfId="1" applyFont="1" applyBorder="1" applyAlignment="1" applyProtection="1">
      <protection hidden="1"/>
    </xf>
    <xf numFmtId="0" fontId="31" fillId="0" borderId="0" xfId="5" applyFont="1" applyBorder="1" applyProtection="1">
      <protection hidden="1"/>
    </xf>
    <xf numFmtId="0" fontId="8" fillId="0" borderId="0" xfId="5" applyFont="1" applyBorder="1" applyProtection="1">
      <protection hidden="1"/>
    </xf>
    <xf numFmtId="169" fontId="12" fillId="0" borderId="0" xfId="5" applyNumberFormat="1" applyFont="1" applyBorder="1" applyAlignment="1" applyProtection="1">
      <alignment horizontal="left"/>
      <protection hidden="1"/>
    </xf>
    <xf numFmtId="0" fontId="13" fillId="0" borderId="0" xfId="5" applyFont="1" applyFill="1" applyProtection="1">
      <protection hidden="1"/>
    </xf>
    <xf numFmtId="0" fontId="13" fillId="0" borderId="0" xfId="5" applyFont="1" applyFill="1" applyBorder="1" applyProtection="1">
      <protection hidden="1"/>
    </xf>
    <xf numFmtId="165" fontId="13" fillId="0" borderId="0" xfId="5" applyNumberFormat="1" applyFont="1" applyFill="1" applyBorder="1" applyProtection="1">
      <protection hidden="1"/>
    </xf>
    <xf numFmtId="0" fontId="12" fillId="0" borderId="0" xfId="5" applyFont="1" applyFill="1" applyProtection="1">
      <protection hidden="1"/>
    </xf>
    <xf numFmtId="0" fontId="12" fillId="0" borderId="0" xfId="5" applyFont="1" applyAlignment="1" applyProtection="1">
      <alignment horizontal="right"/>
      <protection hidden="1"/>
    </xf>
    <xf numFmtId="0" fontId="12" fillId="0" borderId="0" xfId="5" applyFont="1" applyBorder="1" applyAlignment="1" applyProtection="1">
      <alignment horizontal="right"/>
      <protection hidden="1"/>
    </xf>
    <xf numFmtId="0" fontId="9" fillId="0" borderId="0" xfId="5" applyFont="1" applyBorder="1" applyAlignment="1" applyProtection="1">
      <protection hidden="1"/>
    </xf>
    <xf numFmtId="0" fontId="12" fillId="0" borderId="0" xfId="5" applyFont="1" applyBorder="1" applyAlignment="1" applyProtection="1">
      <protection hidden="1"/>
    </xf>
    <xf numFmtId="171" fontId="12" fillId="0" borderId="0" xfId="5" applyNumberFormat="1" applyFont="1" applyBorder="1" applyAlignment="1" applyProtection="1">
      <protection hidden="1"/>
    </xf>
    <xf numFmtId="2" fontId="13" fillId="0" borderId="21" xfId="5" applyNumberFormat="1" applyFont="1" applyFill="1" applyBorder="1" applyAlignment="1" applyProtection="1">
      <alignment horizontal="center"/>
      <protection hidden="1"/>
    </xf>
    <xf numFmtId="0" fontId="13" fillId="9" borderId="23" xfId="5" applyNumberFormat="1" applyFont="1" applyFill="1" applyBorder="1" applyAlignment="1" applyProtection="1">
      <alignment horizontal="center"/>
      <protection locked="0" hidden="1"/>
    </xf>
    <xf numFmtId="0" fontId="13" fillId="9" borderId="15" xfId="5" applyNumberFormat="1" applyFont="1" applyFill="1" applyBorder="1" applyAlignment="1" applyProtection="1">
      <alignment horizontal="center"/>
      <protection locked="0" hidden="1"/>
    </xf>
    <xf numFmtId="2" fontId="13" fillId="0" borderId="16" xfId="5" applyNumberFormat="1" applyFont="1" applyFill="1" applyBorder="1" applyAlignment="1" applyProtection="1">
      <alignment horizontal="center"/>
      <protection hidden="1"/>
    </xf>
    <xf numFmtId="0" fontId="9" fillId="0" borderId="0" xfId="1" applyFont="1" applyFill="1" applyAlignment="1" applyProtection="1">
      <alignment horizontal="right"/>
      <protection locked="0" hidden="1"/>
    </xf>
    <xf numFmtId="0" fontId="12" fillId="0" borderId="0" xfId="5" applyFont="1" applyBorder="1" applyAlignment="1" applyProtection="1">
      <alignment horizontal="right"/>
      <protection locked="0" hidden="1"/>
    </xf>
    <xf numFmtId="166" fontId="13" fillId="9" borderId="13" xfId="5" applyNumberFormat="1" applyFont="1" applyFill="1" applyBorder="1" applyAlignment="1" applyProtection="1">
      <alignment horizontal="center"/>
      <protection locked="0" hidden="1"/>
    </xf>
    <xf numFmtId="166" fontId="13" fillId="9" borderId="14" xfId="5" applyNumberFormat="1" applyFont="1" applyFill="1" applyBorder="1" applyAlignment="1" applyProtection="1">
      <alignment horizontal="center"/>
      <protection locked="0" hidden="1"/>
    </xf>
    <xf numFmtId="166" fontId="13" fillId="9" borderId="5" xfId="5" applyNumberFormat="1" applyFont="1" applyFill="1" applyBorder="1" applyAlignment="1" applyProtection="1">
      <alignment horizontal="center"/>
      <protection locked="0" hidden="1"/>
    </xf>
    <xf numFmtId="0" fontId="13" fillId="9" borderId="12" xfId="5" applyFont="1" applyFill="1" applyBorder="1" applyAlignment="1" applyProtection="1">
      <alignment horizontal="center"/>
      <protection locked="0" hidden="1"/>
    </xf>
    <xf numFmtId="0" fontId="22" fillId="3" borderId="22" xfId="0" applyFont="1" applyFill="1" applyBorder="1" applyAlignment="1" applyProtection="1">
      <alignment horizontal="center"/>
      <protection hidden="1"/>
    </xf>
    <xf numFmtId="0" fontId="23" fillId="3" borderId="69" xfId="0" applyFont="1" applyFill="1" applyBorder="1" applyProtection="1">
      <protection hidden="1"/>
    </xf>
    <xf numFmtId="0" fontId="22" fillId="3" borderId="70" xfId="0" applyFont="1" applyFill="1" applyBorder="1" applyAlignment="1" applyProtection="1">
      <alignment horizontal="center"/>
      <protection hidden="1"/>
    </xf>
    <xf numFmtId="0" fontId="22" fillId="3" borderId="71" xfId="0" applyFont="1" applyFill="1" applyBorder="1" applyAlignment="1" applyProtection="1">
      <alignment horizontal="right"/>
      <protection hidden="1"/>
    </xf>
    <xf numFmtId="0" fontId="23" fillId="3" borderId="71" xfId="0" applyFont="1" applyFill="1" applyBorder="1" applyProtection="1">
      <protection hidden="1"/>
    </xf>
    <xf numFmtId="167" fontId="13" fillId="5" borderId="74" xfId="0" applyNumberFormat="1" applyFont="1" applyFill="1" applyBorder="1" applyAlignment="1" applyProtection="1">
      <alignment horizontal="center"/>
      <protection locked="0"/>
    </xf>
    <xf numFmtId="167" fontId="13" fillId="5" borderId="75" xfId="0" applyNumberFormat="1" applyFont="1" applyFill="1" applyBorder="1" applyAlignment="1" applyProtection="1">
      <alignment horizontal="center"/>
      <protection locked="0"/>
    </xf>
    <xf numFmtId="0" fontId="22" fillId="3" borderId="76" xfId="0" applyFont="1" applyFill="1" applyBorder="1" applyAlignment="1" applyProtection="1">
      <alignment horizontal="right"/>
      <protection hidden="1"/>
    </xf>
    <xf numFmtId="0" fontId="23" fillId="3" borderId="72" xfId="0" applyFont="1" applyFill="1" applyBorder="1" applyProtection="1">
      <protection hidden="1"/>
    </xf>
    <xf numFmtId="167" fontId="13" fillId="4" borderId="81" xfId="0" applyNumberFormat="1" applyFont="1" applyFill="1" applyBorder="1" applyAlignment="1" applyProtection="1">
      <alignment horizontal="left"/>
      <protection hidden="1"/>
    </xf>
    <xf numFmtId="0" fontId="22" fillId="3" borderId="69" xfId="0" applyFont="1" applyFill="1" applyBorder="1" applyAlignment="1" applyProtection="1">
      <alignment horizontal="right"/>
      <protection hidden="1"/>
    </xf>
    <xf numFmtId="166" fontId="13" fillId="5" borderId="70" xfId="0" applyNumberFormat="1" applyFont="1" applyFill="1" applyBorder="1" applyAlignment="1" applyProtection="1">
      <alignment horizontal="center"/>
      <protection locked="0" hidden="1"/>
    </xf>
    <xf numFmtId="0" fontId="22" fillId="3" borderId="71" xfId="0" applyFont="1" applyFill="1" applyBorder="1" applyAlignment="1" applyProtection="1">
      <alignment horizontal="right"/>
      <protection locked="0" hidden="1"/>
    </xf>
    <xf numFmtId="0" fontId="23" fillId="3" borderId="83" xfId="0" applyFont="1" applyFill="1" applyBorder="1" applyProtection="1">
      <protection hidden="1"/>
    </xf>
    <xf numFmtId="0" fontId="22" fillId="3" borderId="86" xfId="0" applyFont="1" applyFill="1" applyBorder="1" applyAlignment="1" applyProtection="1">
      <protection hidden="1"/>
    </xf>
    <xf numFmtId="0" fontId="22" fillId="3" borderId="87" xfId="0" applyFont="1" applyFill="1" applyBorder="1" applyAlignment="1" applyProtection="1">
      <alignment horizontal="center"/>
      <protection hidden="1"/>
    </xf>
    <xf numFmtId="0" fontId="22" fillId="3" borderId="86" xfId="0" applyFont="1" applyFill="1" applyBorder="1" applyAlignment="1" applyProtection="1">
      <alignment horizontal="center" vertical="center"/>
      <protection hidden="1"/>
    </xf>
    <xf numFmtId="0" fontId="22" fillId="3" borderId="87" xfId="0" applyFont="1" applyFill="1" applyBorder="1" applyAlignment="1" applyProtection="1">
      <alignment horizontal="center" vertical="center"/>
      <protection hidden="1"/>
    </xf>
    <xf numFmtId="0" fontId="13" fillId="5" borderId="91" xfId="0" applyFont="1" applyFill="1" applyBorder="1" applyAlignment="1" applyProtection="1">
      <alignment horizontal="center"/>
      <protection locked="0"/>
    </xf>
    <xf numFmtId="2" fontId="13" fillId="4" borderId="89" xfId="0" applyNumberFormat="1" applyFont="1" applyFill="1" applyBorder="1" applyAlignment="1" applyProtection="1">
      <alignment horizontal="center"/>
      <protection hidden="1"/>
    </xf>
    <xf numFmtId="2" fontId="23" fillId="3" borderId="79" xfId="0" applyNumberFormat="1" applyFont="1" applyFill="1" applyBorder="1" applyAlignment="1" applyProtection="1">
      <alignment horizontal="center"/>
      <protection hidden="1"/>
    </xf>
    <xf numFmtId="0" fontId="23" fillId="3" borderId="22" xfId="0" applyFont="1" applyFill="1" applyBorder="1" applyAlignment="1" applyProtection="1">
      <alignment horizontal="centerContinuous"/>
      <protection hidden="1"/>
    </xf>
    <xf numFmtId="0" fontId="2" fillId="0" borderId="0" xfId="6" applyAlignment="1"/>
    <xf numFmtId="0" fontId="24" fillId="3" borderId="0" xfId="0" applyFont="1" applyFill="1" applyAlignment="1" applyProtection="1">
      <protection hidden="1"/>
    </xf>
    <xf numFmtId="168" fontId="13" fillId="5" borderId="8" xfId="0" applyNumberFormat="1" applyFont="1" applyFill="1" applyBorder="1" applyAlignment="1" applyProtection="1">
      <alignment horizontal="center"/>
      <protection locked="0"/>
    </xf>
    <xf numFmtId="2" fontId="13" fillId="5" borderId="8" xfId="0" applyNumberFormat="1" applyFont="1" applyFill="1" applyBorder="1" applyAlignment="1" applyProtection="1">
      <alignment horizontal="center"/>
      <protection locked="0"/>
    </xf>
    <xf numFmtId="2" fontId="13" fillId="5" borderId="25" xfId="0" applyNumberFormat="1" applyFont="1" applyFill="1" applyBorder="1" applyAlignment="1" applyProtection="1">
      <alignment horizontal="center"/>
      <protection locked="0"/>
    </xf>
    <xf numFmtId="171" fontId="22" fillId="3" borderId="0" xfId="0" applyNumberFormat="1" applyFont="1" applyFill="1" applyAlignment="1" applyProtection="1">
      <protection hidden="1"/>
    </xf>
    <xf numFmtId="0" fontId="13" fillId="5" borderId="25" xfId="0" applyFont="1" applyFill="1" applyBorder="1" applyAlignment="1" applyProtection="1">
      <alignment horizontal="center"/>
      <protection locked="0"/>
    </xf>
    <xf numFmtId="166" fontId="13" fillId="4" borderId="0" xfId="0" applyNumberFormat="1" applyFont="1" applyFill="1" applyBorder="1" applyAlignment="1" applyProtection="1">
      <alignment horizontal="center"/>
      <protection hidden="1"/>
    </xf>
    <xf numFmtId="2" fontId="13" fillId="4" borderId="43" xfId="0" applyNumberFormat="1" applyFont="1" applyFill="1" applyBorder="1" applyAlignment="1" applyProtection="1">
      <alignment horizontal="center"/>
      <protection hidden="1"/>
    </xf>
    <xf numFmtId="168" fontId="13" fillId="4" borderId="0" xfId="0" applyNumberFormat="1" applyFont="1" applyFill="1" applyBorder="1" applyAlignment="1" applyProtection="1">
      <alignment horizontal="center"/>
      <protection hidden="1"/>
    </xf>
    <xf numFmtId="168" fontId="13" fillId="4" borderId="43" xfId="0" applyNumberFormat="1" applyFont="1" applyFill="1" applyBorder="1" applyAlignment="1" applyProtection="1">
      <alignment horizontal="center"/>
      <protection hidden="1"/>
    </xf>
    <xf numFmtId="2" fontId="13" fillId="5" borderId="22" xfId="0" applyNumberFormat="1" applyFont="1" applyFill="1" applyBorder="1" applyAlignment="1" applyProtection="1">
      <alignment horizontal="center"/>
      <protection locked="0" hidden="1"/>
    </xf>
    <xf numFmtId="164" fontId="23" fillId="3" borderId="46" xfId="0" applyNumberFormat="1" applyFont="1" applyFill="1" applyBorder="1" applyAlignment="1" applyProtection="1">
      <alignment horizontal="center"/>
      <protection hidden="1"/>
    </xf>
    <xf numFmtId="2" fontId="23" fillId="3" borderId="64" xfId="0" applyNumberFormat="1" applyFont="1" applyFill="1" applyBorder="1" applyAlignment="1" applyProtection="1">
      <alignment horizontal="center"/>
      <protection hidden="1"/>
    </xf>
    <xf numFmtId="167" fontId="23" fillId="3" borderId="44" xfId="0" applyNumberFormat="1" applyFont="1" applyFill="1" applyBorder="1" applyAlignment="1" applyProtection="1">
      <alignment horizontal="center"/>
      <protection hidden="1"/>
    </xf>
    <xf numFmtId="168" fontId="23" fillId="3" borderId="0" xfId="0" applyNumberFormat="1" applyFont="1" applyFill="1" applyBorder="1" applyAlignment="1" applyProtection="1">
      <alignment horizontal="center"/>
      <protection hidden="1"/>
    </xf>
    <xf numFmtId="2" fontId="23" fillId="3" borderId="43" xfId="0" applyNumberFormat="1" applyFont="1" applyFill="1" applyBorder="1" applyAlignment="1" applyProtection="1">
      <alignment horizontal="center"/>
      <protection hidden="1"/>
    </xf>
    <xf numFmtId="168" fontId="23" fillId="3" borderId="43" xfId="0" applyNumberFormat="1" applyFont="1" applyFill="1" applyBorder="1" applyAlignment="1" applyProtection="1">
      <alignment horizontal="center"/>
      <protection hidden="1"/>
    </xf>
    <xf numFmtId="1" fontId="23" fillId="3" borderId="29" xfId="0" applyNumberFormat="1" applyFont="1" applyFill="1" applyBorder="1" applyAlignment="1" applyProtection="1">
      <alignment horizontal="center"/>
      <protection hidden="1"/>
    </xf>
    <xf numFmtId="166" fontId="23" fillId="3" borderId="29" xfId="0" applyNumberFormat="1" applyFont="1" applyFill="1" applyBorder="1" applyAlignment="1" applyProtection="1">
      <alignment horizontal="center"/>
      <protection hidden="1"/>
    </xf>
    <xf numFmtId="167" fontId="23" fillId="3" borderId="77" xfId="0" applyNumberFormat="1" applyFont="1" applyFill="1" applyBorder="1" applyAlignment="1" applyProtection="1">
      <alignment horizontal="center"/>
      <protection hidden="1"/>
    </xf>
    <xf numFmtId="2" fontId="23" fillId="3" borderId="89" xfId="0" applyNumberFormat="1" applyFont="1" applyFill="1" applyBorder="1" applyAlignment="1" applyProtection="1">
      <alignment horizontal="center"/>
      <protection hidden="1"/>
    </xf>
    <xf numFmtId="167" fontId="23" fillId="3" borderId="81" xfId="0" applyNumberFormat="1" applyFont="1" applyFill="1" applyBorder="1" applyAlignment="1" applyProtection="1">
      <alignment horizontal="left"/>
      <protection hidden="1"/>
    </xf>
    <xf numFmtId="2" fontId="23" fillId="3" borderId="95" xfId="0" applyNumberFormat="1" applyFont="1" applyFill="1" applyBorder="1" applyAlignment="1" applyProtection="1">
      <alignment horizontal="center"/>
      <protection hidden="1"/>
    </xf>
    <xf numFmtId="2" fontId="23" fillId="3" borderId="96" xfId="0" applyNumberFormat="1" applyFont="1" applyFill="1" applyBorder="1" applyAlignment="1" applyProtection="1">
      <alignment horizontal="center"/>
      <protection hidden="1"/>
    </xf>
    <xf numFmtId="0" fontId="25" fillId="3" borderId="0" xfId="1" applyFont="1" applyFill="1" applyAlignment="1" applyProtection="1">
      <alignment horizontal="right"/>
      <protection hidden="1"/>
    </xf>
    <xf numFmtId="0" fontId="23" fillId="3" borderId="0" xfId="0" applyFont="1" applyFill="1" applyBorder="1" applyAlignment="1" applyProtection="1">
      <alignment horizontal="center"/>
      <protection hidden="1"/>
    </xf>
    <xf numFmtId="167" fontId="23" fillId="3" borderId="56" xfId="0" applyNumberFormat="1" applyFont="1" applyFill="1" applyBorder="1" applyAlignment="1" applyProtection="1">
      <alignment horizontal="center"/>
      <protection hidden="1"/>
    </xf>
    <xf numFmtId="167" fontId="23" fillId="3" borderId="57" xfId="0" applyNumberFormat="1" applyFont="1" applyFill="1" applyBorder="1" applyAlignment="1" applyProtection="1">
      <alignment horizontal="center"/>
      <protection hidden="1"/>
    </xf>
    <xf numFmtId="167" fontId="23" fillId="3" borderId="58" xfId="0" applyNumberFormat="1" applyFont="1" applyFill="1" applyBorder="1" applyAlignment="1" applyProtection="1">
      <alignment horizontal="center"/>
      <protection hidden="1"/>
    </xf>
    <xf numFmtId="167" fontId="23" fillId="3" borderId="45" xfId="0" applyNumberFormat="1" applyFont="1" applyFill="1" applyBorder="1" applyAlignment="1" applyProtection="1">
      <alignment horizontal="center"/>
      <protection hidden="1"/>
    </xf>
    <xf numFmtId="167" fontId="23" fillId="3" borderId="97" xfId="0" applyNumberFormat="1" applyFont="1" applyFill="1" applyBorder="1" applyAlignment="1" applyProtection="1">
      <alignment horizontal="center"/>
      <protection hidden="1"/>
    </xf>
    <xf numFmtId="167" fontId="23" fillId="3" borderId="61" xfId="0" applyNumberFormat="1" applyFont="1" applyFill="1" applyBorder="1" applyAlignment="1" applyProtection="1">
      <alignment horizontal="center"/>
      <protection hidden="1"/>
    </xf>
    <xf numFmtId="167" fontId="23" fillId="3" borderId="62" xfId="0" applyNumberFormat="1" applyFont="1" applyFill="1" applyBorder="1" applyAlignment="1" applyProtection="1">
      <alignment horizontal="center"/>
      <protection hidden="1"/>
    </xf>
    <xf numFmtId="167" fontId="23" fillId="3" borderId="98" xfId="0" applyNumberFormat="1" applyFont="1" applyFill="1" applyBorder="1" applyAlignment="1" applyProtection="1">
      <alignment horizontal="center"/>
      <protection hidden="1"/>
    </xf>
    <xf numFmtId="0" fontId="23" fillId="3" borderId="91" xfId="0" applyFont="1" applyFill="1" applyBorder="1" applyAlignment="1" applyProtection="1">
      <alignment horizontal="center"/>
      <protection hidden="1"/>
    </xf>
    <xf numFmtId="168" fontId="23" fillId="3" borderId="29" xfId="0" applyNumberFormat="1" applyFont="1" applyFill="1" applyBorder="1" applyAlignment="1" applyProtection="1">
      <alignment horizontal="center"/>
      <protection hidden="1"/>
    </xf>
    <xf numFmtId="0" fontId="23" fillId="3" borderId="22" xfId="0" applyFont="1" applyFill="1" applyBorder="1" applyAlignment="1" applyProtection="1">
      <alignment horizontal="center"/>
      <protection hidden="1"/>
    </xf>
    <xf numFmtId="168" fontId="23" fillId="3" borderId="8" xfId="0" applyNumberFormat="1" applyFont="1" applyFill="1" applyBorder="1" applyAlignment="1" applyProtection="1">
      <alignment horizontal="center"/>
      <protection hidden="1"/>
    </xf>
    <xf numFmtId="0" fontId="23" fillId="3" borderId="76" xfId="0" applyFont="1" applyFill="1" applyBorder="1" applyProtection="1">
      <protection hidden="1"/>
    </xf>
    <xf numFmtId="0" fontId="23" fillId="3" borderId="81" xfId="0" applyFont="1" applyFill="1" applyBorder="1" applyProtection="1">
      <protection hidden="1"/>
    </xf>
    <xf numFmtId="0" fontId="22" fillId="3" borderId="0" xfId="0" applyFont="1" applyFill="1" applyBorder="1" applyAlignment="1" applyProtection="1">
      <alignment horizontal="right"/>
      <protection hidden="1"/>
    </xf>
    <xf numFmtId="0" fontId="22" fillId="3" borderId="0" xfId="0" applyFont="1" applyFill="1" applyBorder="1" applyAlignment="1" applyProtection="1">
      <alignment horizontal="left"/>
      <protection hidden="1"/>
    </xf>
    <xf numFmtId="1" fontId="23" fillId="3" borderId="40" xfId="0" applyNumberFormat="1" applyFont="1" applyFill="1" applyBorder="1" applyAlignment="1" applyProtection="1">
      <alignment horizontal="center"/>
      <protection hidden="1"/>
    </xf>
    <xf numFmtId="166" fontId="13" fillId="4" borderId="47" xfId="0" applyNumberFormat="1" applyFont="1" applyFill="1" applyBorder="1" applyAlignment="1" applyProtection="1">
      <alignment horizontal="center"/>
      <protection hidden="1"/>
    </xf>
    <xf numFmtId="166" fontId="23" fillId="3" borderId="70" xfId="0" applyNumberFormat="1" applyFont="1" applyFill="1" applyBorder="1" applyAlignment="1" applyProtection="1">
      <alignment horizontal="center"/>
      <protection hidden="1"/>
    </xf>
    <xf numFmtId="0" fontId="23" fillId="3" borderId="0" xfId="0" applyFont="1" applyFill="1" applyBorder="1" applyAlignment="1" applyProtection="1">
      <alignment horizontal="centerContinuous"/>
      <protection hidden="1"/>
    </xf>
    <xf numFmtId="0" fontId="13" fillId="0" borderId="8" xfId="5" applyNumberFormat="1" applyFont="1" applyFill="1" applyBorder="1" applyAlignment="1" applyProtection="1">
      <alignment horizontal="center"/>
      <protection hidden="1"/>
    </xf>
    <xf numFmtId="0" fontId="12" fillId="0" borderId="0" xfId="5" applyFont="1" applyFill="1" applyBorder="1" applyAlignment="1" applyProtection="1">
      <alignment horizontal="left"/>
      <protection hidden="1"/>
    </xf>
    <xf numFmtId="0" fontId="13" fillId="0" borderId="24" xfId="5" applyFont="1" applyBorder="1" applyProtection="1">
      <protection hidden="1"/>
    </xf>
    <xf numFmtId="0" fontId="9" fillId="0" borderId="0" xfId="5" applyFont="1" applyFill="1" applyBorder="1" applyAlignment="1" applyProtection="1">
      <protection hidden="1"/>
    </xf>
    <xf numFmtId="0" fontId="8" fillId="0" borderId="1" xfId="5" applyFont="1" applyFill="1" applyBorder="1" applyProtection="1">
      <protection hidden="1"/>
    </xf>
    <xf numFmtId="0" fontId="8" fillId="0" borderId="1" xfId="5" applyFont="1" applyFill="1" applyBorder="1" applyAlignment="1" applyProtection="1">
      <alignment horizontal="left"/>
      <protection hidden="1"/>
    </xf>
    <xf numFmtId="0" fontId="8" fillId="0" borderId="0" xfId="5" applyFont="1" applyFill="1" applyBorder="1" applyProtection="1">
      <protection hidden="1"/>
    </xf>
    <xf numFmtId="165" fontId="13" fillId="0" borderId="0" xfId="5" applyNumberFormat="1" applyFont="1" applyFill="1" applyProtection="1">
      <protection hidden="1"/>
    </xf>
    <xf numFmtId="0" fontId="13" fillId="0" borderId="0" xfId="0" applyFont="1" applyFill="1" applyBorder="1" applyProtection="1">
      <protection hidden="1"/>
    </xf>
    <xf numFmtId="0" fontId="12" fillId="0" borderId="0" xfId="0" applyFont="1" applyFill="1" applyBorder="1" applyAlignment="1" applyProtection="1">
      <alignment horizontal="right"/>
      <protection hidden="1"/>
    </xf>
    <xf numFmtId="0" fontId="8" fillId="0" borderId="0" xfId="0" applyFont="1" applyFill="1" applyBorder="1" applyProtection="1">
      <protection hidden="1"/>
    </xf>
    <xf numFmtId="0" fontId="12" fillId="0" borderId="15" xfId="0" applyFont="1" applyFill="1" applyBorder="1" applyAlignment="1" applyProtection="1">
      <alignment horizontal="right"/>
      <protection hidden="1"/>
    </xf>
    <xf numFmtId="0" fontId="12" fillId="0" borderId="16" xfId="0" applyFont="1" applyFill="1" applyBorder="1" applyAlignment="1" applyProtection="1">
      <alignment horizontal="center"/>
      <protection hidden="1"/>
    </xf>
    <xf numFmtId="0" fontId="12" fillId="0" borderId="19" xfId="0" applyFont="1" applyFill="1" applyBorder="1" applyAlignment="1" applyProtection="1">
      <alignment horizontal="center"/>
      <protection hidden="1"/>
    </xf>
    <xf numFmtId="168" fontId="13" fillId="0" borderId="0" xfId="5" applyNumberFormat="1" applyFont="1" applyFill="1" applyBorder="1" applyAlignment="1" applyProtection="1">
      <alignment horizontal="left"/>
      <protection hidden="1"/>
    </xf>
    <xf numFmtId="166" fontId="13" fillId="0" borderId="0" xfId="5" applyNumberFormat="1" applyFont="1" applyBorder="1" applyAlignment="1" applyProtection="1">
      <alignment horizontal="left"/>
      <protection hidden="1"/>
    </xf>
    <xf numFmtId="2" fontId="13" fillId="0" borderId="0" xfId="5" applyNumberFormat="1" applyFont="1" applyBorder="1" applyAlignment="1" applyProtection="1">
      <alignment horizontal="left"/>
      <protection hidden="1"/>
    </xf>
    <xf numFmtId="1" fontId="13" fillId="0" borderId="0" xfId="5" applyNumberFormat="1" applyFont="1" applyBorder="1" applyAlignment="1" applyProtection="1">
      <alignment horizontal="left"/>
      <protection hidden="1"/>
    </xf>
    <xf numFmtId="165" fontId="14" fillId="0" borderId="0" xfId="5" applyNumberFormat="1" applyFont="1" applyBorder="1" applyAlignment="1" applyProtection="1">
      <alignment horizontal="left"/>
      <protection hidden="1"/>
    </xf>
    <xf numFmtId="2" fontId="14" fillId="0" borderId="0" xfId="5" applyNumberFormat="1" applyFont="1" applyBorder="1" applyAlignment="1" applyProtection="1">
      <alignment horizontal="left"/>
      <protection hidden="1"/>
    </xf>
    <xf numFmtId="0" fontId="13" fillId="5" borderId="88" xfId="0" applyFont="1" applyFill="1" applyBorder="1" applyAlignment="1" applyProtection="1">
      <protection locked="0"/>
    </xf>
    <xf numFmtId="2" fontId="33" fillId="6" borderId="0" xfId="0" applyNumberFormat="1" applyFont="1" applyFill="1" applyBorder="1" applyAlignment="1" applyProtection="1">
      <alignment horizontal="center"/>
      <protection locked="0"/>
    </xf>
    <xf numFmtId="166" fontId="23" fillId="3" borderId="1" xfId="0" applyNumberFormat="1" applyFont="1" applyFill="1" applyBorder="1" applyAlignment="1" applyProtection="1">
      <alignment horizontal="center"/>
      <protection hidden="1"/>
    </xf>
    <xf numFmtId="0" fontId="2" fillId="0" borderId="0" xfId="6" applyAlignment="1">
      <alignment horizontal="center"/>
    </xf>
    <xf numFmtId="0" fontId="23" fillId="3" borderId="6" xfId="0" applyFont="1" applyFill="1" applyBorder="1" applyAlignment="1" applyProtection="1">
      <alignment horizontal="right"/>
      <protection hidden="1"/>
    </xf>
    <xf numFmtId="2" fontId="23" fillId="3" borderId="9" xfId="0" applyNumberFormat="1" applyFont="1" applyFill="1" applyBorder="1" applyAlignment="1" applyProtection="1">
      <alignment horizontal="left"/>
      <protection hidden="1"/>
    </xf>
    <xf numFmtId="0" fontId="13" fillId="5" borderId="8" xfId="0" applyFont="1" applyFill="1" applyBorder="1" applyAlignment="1" applyProtection="1">
      <alignment horizontal="center"/>
      <protection locked="0"/>
    </xf>
    <xf numFmtId="0" fontId="22" fillId="3" borderId="24" xfId="0" applyFont="1" applyFill="1" applyBorder="1" applyAlignment="1" applyProtection="1">
      <alignment horizontal="right"/>
      <protection hidden="1"/>
    </xf>
    <xf numFmtId="164" fontId="22" fillId="3" borderId="2" xfId="0" applyNumberFormat="1" applyFont="1" applyFill="1" applyBorder="1" applyAlignment="1" applyProtection="1">
      <alignment horizontal="center"/>
      <protection hidden="1"/>
    </xf>
    <xf numFmtId="166" fontId="22" fillId="3" borderId="2" xfId="0" applyNumberFormat="1" applyFont="1" applyFill="1" applyBorder="1" applyAlignment="1" applyProtection="1">
      <alignment horizontal="center"/>
      <protection hidden="1"/>
    </xf>
    <xf numFmtId="9" fontId="22" fillId="3" borderId="90" xfId="2" applyFont="1" applyFill="1" applyBorder="1" applyAlignment="1" applyProtection="1">
      <alignment horizontal="center"/>
      <protection hidden="1"/>
    </xf>
    <xf numFmtId="0" fontId="23" fillId="3" borderId="78" xfId="0" applyFont="1" applyFill="1" applyBorder="1" applyAlignment="1" applyProtection="1">
      <alignment horizontal="right"/>
      <protection hidden="1"/>
    </xf>
    <xf numFmtId="2" fontId="13" fillId="7" borderId="12" xfId="0" applyNumberFormat="1" applyFont="1" applyFill="1" applyBorder="1" applyAlignment="1" applyProtection="1">
      <alignment horizontal="center"/>
      <protection locked="0" hidden="1"/>
    </xf>
    <xf numFmtId="2" fontId="13" fillId="7" borderId="0" xfId="0" applyNumberFormat="1" applyFont="1" applyFill="1" applyBorder="1" applyAlignment="1" applyProtection="1">
      <alignment horizontal="center"/>
      <protection locked="0" hidden="1"/>
    </xf>
    <xf numFmtId="166" fontId="13" fillId="7" borderId="7" xfId="0" applyNumberFormat="1" applyFont="1" applyFill="1" applyBorder="1" applyAlignment="1" applyProtection="1">
      <alignment horizontal="center"/>
      <protection locked="0" hidden="1"/>
    </xf>
    <xf numFmtId="166" fontId="13" fillId="7" borderId="20" xfId="0" applyNumberFormat="1" applyFont="1" applyFill="1" applyBorder="1" applyAlignment="1" applyProtection="1">
      <alignment horizontal="center"/>
      <protection locked="0" hidden="1"/>
    </xf>
    <xf numFmtId="166" fontId="13" fillId="7" borderId="70" xfId="0" applyNumberFormat="1" applyFont="1" applyFill="1" applyBorder="1" applyAlignment="1" applyProtection="1">
      <alignment horizontal="center"/>
      <protection locked="0" hidden="1"/>
    </xf>
    <xf numFmtId="2" fontId="13" fillId="7" borderId="22" xfId="0" applyNumberFormat="1" applyFont="1" applyFill="1" applyBorder="1" applyAlignment="1" applyProtection="1">
      <alignment horizontal="center"/>
      <protection locked="0" hidden="1"/>
    </xf>
    <xf numFmtId="166" fontId="13" fillId="7" borderId="1" xfId="0" applyNumberFormat="1" applyFont="1" applyFill="1" applyBorder="1" applyAlignment="1" applyProtection="1">
      <alignment horizontal="center"/>
      <protection locked="0" hidden="1"/>
    </xf>
    <xf numFmtId="2" fontId="12" fillId="0" borderId="6" xfId="5" applyNumberFormat="1" applyFont="1" applyBorder="1" applyAlignment="1" applyProtection="1">
      <protection hidden="1"/>
    </xf>
    <xf numFmtId="2" fontId="12" fillId="0" borderId="24" xfId="5" applyNumberFormat="1" applyFont="1" applyBorder="1" applyAlignment="1" applyProtection="1">
      <protection hidden="1"/>
    </xf>
    <xf numFmtId="168" fontId="13" fillId="0" borderId="9" xfId="2" applyNumberFormat="1" applyFont="1" applyBorder="1" applyAlignment="1" applyProtection="1">
      <alignment horizontal="center"/>
      <protection hidden="1"/>
    </xf>
    <xf numFmtId="167" fontId="13" fillId="0" borderId="18" xfId="0" applyNumberFormat="1" applyFont="1" applyFill="1" applyBorder="1" applyAlignment="1" applyProtection="1">
      <alignment horizontal="center"/>
      <protection hidden="1"/>
    </xf>
    <xf numFmtId="167" fontId="13" fillId="0" borderId="19" xfId="0" applyNumberFormat="1" applyFont="1" applyFill="1" applyBorder="1" applyAlignment="1" applyProtection="1">
      <alignment horizontal="center"/>
      <protection hidden="1"/>
    </xf>
    <xf numFmtId="167" fontId="13" fillId="0" borderId="20" xfId="0" applyNumberFormat="1" applyFont="1" applyFill="1" applyBorder="1" applyAlignment="1" applyProtection="1">
      <alignment horizontal="center"/>
      <protection hidden="1"/>
    </xf>
    <xf numFmtId="0" fontId="23" fillId="3" borderId="71" xfId="0" applyFont="1" applyFill="1" applyBorder="1" applyAlignment="1" applyProtection="1">
      <protection hidden="1"/>
    </xf>
    <xf numFmtId="1" fontId="13" fillId="7" borderId="12" xfId="0" applyNumberFormat="1" applyFont="1" applyFill="1" applyBorder="1" applyAlignment="1" applyProtection="1">
      <alignment horizontal="center"/>
      <protection locked="0" hidden="1"/>
    </xf>
    <xf numFmtId="0" fontId="11" fillId="0" borderId="0" xfId="0" applyFont="1" applyFill="1" applyAlignment="1" applyProtection="1">
      <alignment horizontal="left"/>
      <protection locked="0"/>
    </xf>
    <xf numFmtId="166" fontId="2" fillId="0" borderId="0" xfId="6" applyNumberFormat="1" applyAlignment="1">
      <alignment horizontal="center"/>
    </xf>
    <xf numFmtId="164" fontId="23" fillId="3" borderId="29" xfId="0" applyNumberFormat="1" applyFont="1" applyFill="1" applyBorder="1" applyAlignment="1" applyProtection="1">
      <alignment horizontal="center"/>
      <protection hidden="1"/>
    </xf>
    <xf numFmtId="2" fontId="12" fillId="0" borderId="24" xfId="5" applyNumberFormat="1" applyFont="1" applyBorder="1" applyAlignment="1" applyProtection="1">
      <alignment horizontal="right"/>
      <protection hidden="1"/>
    </xf>
    <xf numFmtId="168" fontId="4" fillId="0" borderId="33" xfId="5" applyNumberFormat="1" applyFont="1" applyBorder="1" applyAlignment="1" applyProtection="1">
      <alignment horizontal="center"/>
      <protection hidden="1"/>
    </xf>
    <xf numFmtId="168" fontId="23" fillId="3" borderId="89" xfId="0" applyNumberFormat="1" applyFont="1" applyFill="1" applyBorder="1" applyAlignment="1" applyProtection="1">
      <alignment horizontal="center"/>
      <protection hidden="1"/>
    </xf>
    <xf numFmtId="168" fontId="23" fillId="3" borderId="105" xfId="0" applyNumberFormat="1" applyFont="1" applyFill="1" applyBorder="1" applyAlignment="1" applyProtection="1">
      <alignment horizontal="center"/>
      <protection hidden="1"/>
    </xf>
    <xf numFmtId="168" fontId="23" fillId="3" borderId="103" xfId="0" applyNumberFormat="1" applyFont="1" applyFill="1" applyBorder="1" applyAlignment="1" applyProtection="1">
      <alignment horizontal="center"/>
      <protection hidden="1"/>
    </xf>
    <xf numFmtId="168" fontId="23" fillId="3" borderId="17" xfId="0" applyNumberFormat="1" applyFont="1" applyFill="1" applyBorder="1" applyAlignment="1" applyProtection="1">
      <alignment horizontal="center"/>
      <protection hidden="1"/>
    </xf>
    <xf numFmtId="0" fontId="13" fillId="0" borderId="12" xfId="0" applyFont="1" applyFill="1" applyBorder="1" applyAlignment="1" applyProtection="1">
      <protection hidden="1"/>
    </xf>
    <xf numFmtId="0" fontId="13" fillId="0" borderId="19" xfId="0" applyFont="1" applyFill="1" applyBorder="1" applyProtection="1">
      <protection hidden="1"/>
    </xf>
    <xf numFmtId="0" fontId="12" fillId="0" borderId="19" xfId="0" applyFont="1" applyFill="1" applyBorder="1" applyAlignment="1" applyProtection="1">
      <alignment horizontal="right"/>
      <protection hidden="1"/>
    </xf>
    <xf numFmtId="2" fontId="13" fillId="0" borderId="20" xfId="0" applyNumberFormat="1" applyFont="1" applyFill="1" applyBorder="1" applyAlignment="1" applyProtection="1">
      <alignment horizontal="left"/>
      <protection hidden="1"/>
    </xf>
    <xf numFmtId="164" fontId="12" fillId="4" borderId="46" xfId="0" applyNumberFormat="1" applyFont="1" applyFill="1" applyBorder="1" applyAlignment="1" applyProtection="1">
      <alignment horizontal="center"/>
      <protection hidden="1"/>
    </xf>
    <xf numFmtId="9" fontId="13" fillId="0" borderId="5" xfId="2" applyNumberFormat="1" applyFont="1" applyFill="1" applyBorder="1" applyAlignment="1" applyProtection="1">
      <alignment horizontal="center"/>
      <protection hidden="1"/>
    </xf>
    <xf numFmtId="0" fontId="1" fillId="0" borderId="0" xfId="6" applyFont="1" applyAlignment="1">
      <alignment horizontal="center"/>
    </xf>
    <xf numFmtId="166" fontId="1" fillId="0" borderId="0" xfId="6" applyNumberFormat="1" applyFont="1" applyAlignment="1">
      <alignment horizontal="center"/>
    </xf>
    <xf numFmtId="0" fontId="28" fillId="3" borderId="0" xfId="0" applyFont="1" applyFill="1" applyProtection="1">
      <protection hidden="1"/>
    </xf>
    <xf numFmtId="9" fontId="13" fillId="9" borderId="0" xfId="2" applyFont="1" applyFill="1" applyBorder="1" applyAlignment="1" applyProtection="1">
      <alignment horizontal="center"/>
      <protection locked="0"/>
    </xf>
    <xf numFmtId="1" fontId="4" fillId="6" borderId="3" xfId="0" applyNumberFormat="1" applyFont="1" applyFill="1" applyBorder="1" applyAlignment="1" applyProtection="1">
      <alignment horizontal="center"/>
      <protection locked="0" hidden="1"/>
    </xf>
    <xf numFmtId="1" fontId="4" fillId="6" borderId="12" xfId="0" applyNumberFormat="1" applyFont="1" applyFill="1" applyBorder="1" applyAlignment="1" applyProtection="1">
      <alignment horizontal="center"/>
      <protection locked="0" hidden="1"/>
    </xf>
    <xf numFmtId="2" fontId="13" fillId="6" borderId="12" xfId="0" applyNumberFormat="1" applyFont="1" applyFill="1" applyBorder="1" applyAlignment="1" applyProtection="1">
      <alignment horizontal="center"/>
      <protection locked="0" hidden="1"/>
    </xf>
    <xf numFmtId="167" fontId="4" fillId="6" borderId="12" xfId="0" applyNumberFormat="1" applyFont="1" applyFill="1" applyBorder="1" applyAlignment="1" applyProtection="1">
      <alignment horizontal="center"/>
      <protection locked="0" hidden="1"/>
    </xf>
    <xf numFmtId="167" fontId="4" fillId="6" borderId="104" xfId="0" applyNumberFormat="1" applyFont="1" applyFill="1" applyBorder="1" applyAlignment="1" applyProtection="1">
      <alignment horizontal="center"/>
      <protection locked="0" hidden="1"/>
    </xf>
    <xf numFmtId="2" fontId="13" fillId="6" borderId="22" xfId="0" applyNumberFormat="1" applyFont="1" applyFill="1" applyBorder="1" applyAlignment="1" applyProtection="1">
      <alignment horizontal="center"/>
      <protection locked="0" hidden="1"/>
    </xf>
    <xf numFmtId="167" fontId="13" fillId="6" borderId="0" xfId="0" applyNumberFormat="1" applyFont="1" applyFill="1" applyBorder="1" applyAlignment="1" applyProtection="1">
      <alignment horizontal="center"/>
      <protection locked="0" hidden="1"/>
    </xf>
    <xf numFmtId="0" fontId="22" fillId="3" borderId="72" xfId="0" applyFont="1" applyFill="1" applyBorder="1" applyAlignment="1" applyProtection="1">
      <alignment horizontal="center"/>
      <protection locked="0" hidden="1"/>
    </xf>
    <xf numFmtId="166" fontId="13" fillId="5" borderId="28" xfId="0" applyNumberFormat="1" applyFont="1" applyFill="1" applyBorder="1" applyAlignment="1" applyProtection="1">
      <alignment horizontal="center"/>
      <protection locked="0"/>
    </xf>
    <xf numFmtId="164" fontId="13" fillId="9" borderId="0" xfId="5" applyNumberFormat="1" applyFont="1" applyFill="1" applyBorder="1" applyAlignment="1" applyProtection="1">
      <alignment horizontal="center"/>
      <protection locked="0" hidden="1"/>
    </xf>
    <xf numFmtId="168" fontId="13" fillId="0" borderId="0" xfId="2" applyNumberFormat="1" applyFont="1" applyFill="1" applyBorder="1" applyAlignment="1" applyProtection="1">
      <alignment horizontal="center"/>
      <protection hidden="1"/>
    </xf>
    <xf numFmtId="9" fontId="13" fillId="0" borderId="0" xfId="2" applyNumberFormat="1" applyFont="1" applyFill="1" applyBorder="1" applyAlignment="1" applyProtection="1">
      <alignment horizontal="center"/>
      <protection hidden="1"/>
    </xf>
    <xf numFmtId="0" fontId="13" fillId="0" borderId="0" xfId="5" applyFont="1" applyFill="1" applyAlignment="1" applyProtection="1">
      <alignment horizontal="right"/>
      <protection hidden="1"/>
    </xf>
    <xf numFmtId="0" fontId="13" fillId="0" borderId="0" xfId="5" applyFont="1" applyAlignment="1" applyProtection="1">
      <alignment horizontal="right"/>
      <protection hidden="1"/>
    </xf>
    <xf numFmtId="164" fontId="13" fillId="0" borderId="0" xfId="5" applyNumberFormat="1" applyFont="1" applyAlignment="1" applyProtection="1">
      <alignment horizontal="center"/>
      <protection hidden="1"/>
    </xf>
    <xf numFmtId="0" fontId="13" fillId="9" borderId="7" xfId="5" applyNumberFormat="1" applyFont="1" applyFill="1" applyBorder="1" applyAlignment="1" applyProtection="1">
      <alignment horizontal="center"/>
      <protection locked="0" hidden="1"/>
    </xf>
    <xf numFmtId="166" fontId="13" fillId="9" borderId="0" xfId="5" applyNumberFormat="1" applyFont="1" applyFill="1" applyBorder="1" applyAlignment="1" applyProtection="1">
      <alignment horizontal="center"/>
      <protection locked="0" hidden="1"/>
    </xf>
    <xf numFmtId="0" fontId="0" fillId="0" borderId="0" xfId="0" applyAlignment="1" applyProtection="1">
      <protection hidden="1"/>
    </xf>
    <xf numFmtId="0" fontId="22" fillId="3" borderId="11" xfId="0" applyFont="1" applyFill="1" applyBorder="1" applyAlignment="1" applyProtection="1">
      <protection hidden="1"/>
    </xf>
    <xf numFmtId="0" fontId="22" fillId="3" borderId="4" xfId="0" applyFont="1" applyFill="1" applyBorder="1" applyAlignment="1" applyProtection="1">
      <protection hidden="1"/>
    </xf>
    <xf numFmtId="0" fontId="22" fillId="3" borderId="10" xfId="0" applyFont="1" applyFill="1" applyBorder="1" applyAlignment="1" applyProtection="1">
      <protection hidden="1"/>
    </xf>
    <xf numFmtId="0" fontId="23" fillId="3" borderId="88" xfId="0" applyFont="1" applyFill="1" applyBorder="1" applyAlignment="1" applyProtection="1">
      <protection hidden="1"/>
    </xf>
    <xf numFmtId="0" fontId="22" fillId="3" borderId="0" xfId="0" applyFont="1" applyFill="1" applyBorder="1" applyAlignment="1" applyProtection="1">
      <alignment horizontal="center"/>
      <protection hidden="1"/>
    </xf>
    <xf numFmtId="0" fontId="22" fillId="3" borderId="22" xfId="0" applyFont="1" applyFill="1" applyBorder="1" applyAlignment="1" applyProtection="1">
      <alignment horizontal="right"/>
      <protection hidden="1"/>
    </xf>
    <xf numFmtId="0" fontId="22" fillId="3" borderId="1" xfId="0" applyFont="1" applyFill="1" applyBorder="1" applyAlignment="1" applyProtection="1">
      <alignment horizontal="right"/>
      <protection hidden="1"/>
    </xf>
    <xf numFmtId="9" fontId="13" fillId="5" borderId="0" xfId="0" applyNumberFormat="1" applyFont="1" applyFill="1" applyBorder="1" applyAlignment="1" applyProtection="1">
      <alignment horizontal="center"/>
      <protection locked="0"/>
    </xf>
    <xf numFmtId="166" fontId="13" fillId="5" borderId="1" xfId="0" applyNumberFormat="1" applyFont="1" applyFill="1" applyBorder="1" applyAlignment="1" applyProtection="1">
      <alignment horizontal="center"/>
      <protection locked="0"/>
    </xf>
    <xf numFmtId="166" fontId="13" fillId="4" borderId="1" xfId="0" applyNumberFormat="1" applyFont="1" applyFill="1" applyBorder="1" applyAlignment="1" applyProtection="1">
      <alignment horizontal="center"/>
      <protection hidden="1"/>
    </xf>
    <xf numFmtId="2" fontId="13" fillId="4" borderId="44" xfId="0" applyNumberFormat="1" applyFont="1" applyFill="1" applyBorder="1" applyAlignment="1" applyProtection="1">
      <alignment horizontal="center"/>
      <protection hidden="1"/>
    </xf>
    <xf numFmtId="2" fontId="13" fillId="4" borderId="106" xfId="0" applyNumberFormat="1" applyFont="1" applyFill="1" applyBorder="1" applyAlignment="1" applyProtection="1">
      <alignment horizontal="center"/>
      <protection hidden="1"/>
    </xf>
    <xf numFmtId="167" fontId="13" fillId="4" borderId="63" xfId="0" applyNumberFormat="1" applyFont="1" applyFill="1" applyBorder="1" applyAlignment="1" applyProtection="1">
      <alignment horizontal="center"/>
      <protection hidden="1"/>
    </xf>
    <xf numFmtId="167" fontId="13" fillId="4" borderId="60" xfId="0" applyNumberFormat="1" applyFont="1" applyFill="1" applyBorder="1" applyAlignment="1" applyProtection="1">
      <alignment horizontal="center"/>
      <protection hidden="1"/>
    </xf>
    <xf numFmtId="167" fontId="13" fillId="4" borderId="77" xfId="0" applyNumberFormat="1" applyFont="1" applyFill="1" applyBorder="1" applyAlignment="1" applyProtection="1">
      <alignment horizontal="center"/>
      <protection hidden="1"/>
    </xf>
    <xf numFmtId="2" fontId="13" fillId="4" borderId="72" xfId="0" applyNumberFormat="1" applyFont="1" applyFill="1" applyBorder="1" applyAlignment="1" applyProtection="1">
      <alignment horizontal="center"/>
      <protection hidden="1"/>
    </xf>
    <xf numFmtId="2" fontId="13" fillId="4" borderId="73" xfId="0" applyNumberFormat="1" applyFont="1" applyFill="1" applyBorder="1" applyAlignment="1" applyProtection="1">
      <alignment horizontal="center"/>
      <protection hidden="1"/>
    </xf>
    <xf numFmtId="0" fontId="22" fillId="3" borderId="22" xfId="0" applyFont="1" applyFill="1" applyBorder="1" applyAlignment="1" applyProtection="1">
      <alignment horizontal="right"/>
      <protection hidden="1"/>
    </xf>
    <xf numFmtId="0" fontId="22" fillId="3" borderId="1" xfId="0" applyFont="1" applyFill="1" applyBorder="1" applyAlignment="1" applyProtection="1">
      <alignment horizontal="right"/>
      <protection hidden="1"/>
    </xf>
    <xf numFmtId="0" fontId="22" fillId="3" borderId="22" xfId="0" applyFont="1" applyFill="1" applyBorder="1" applyAlignment="1" applyProtection="1">
      <protection hidden="1"/>
    </xf>
    <xf numFmtId="0" fontId="22" fillId="3" borderId="22" xfId="0" applyFont="1" applyFill="1" applyBorder="1" applyAlignment="1" applyProtection="1">
      <alignment horizontal="left"/>
      <protection hidden="1"/>
    </xf>
    <xf numFmtId="164" fontId="13" fillId="5" borderId="0" xfId="0" applyNumberFormat="1" applyFont="1" applyFill="1" applyBorder="1" applyAlignment="1" applyProtection="1">
      <alignment horizontal="center"/>
      <protection locked="0"/>
    </xf>
    <xf numFmtId="0" fontId="22" fillId="3" borderId="70" xfId="0" applyFont="1" applyFill="1" applyBorder="1" applyAlignment="1" applyProtection="1">
      <protection hidden="1"/>
    </xf>
    <xf numFmtId="0" fontId="22" fillId="3" borderId="72" xfId="0" applyFont="1" applyFill="1" applyBorder="1" applyAlignment="1" applyProtection="1">
      <alignment horizontal="left"/>
      <protection hidden="1"/>
    </xf>
    <xf numFmtId="0" fontId="22" fillId="3" borderId="71" xfId="0" applyFont="1" applyFill="1" applyBorder="1" applyAlignment="1" applyProtection="1">
      <alignment horizontal="right" vertical="center"/>
      <protection hidden="1"/>
    </xf>
    <xf numFmtId="2" fontId="13" fillId="4" borderId="38" xfId="0" applyNumberFormat="1" applyFont="1" applyFill="1" applyBorder="1" applyAlignment="1" applyProtection="1">
      <alignment horizontal="center"/>
      <protection hidden="1"/>
    </xf>
    <xf numFmtId="0" fontId="35" fillId="3" borderId="1" xfId="0" applyFont="1" applyFill="1" applyBorder="1" applyProtection="1">
      <protection hidden="1"/>
    </xf>
    <xf numFmtId="0" fontId="35" fillId="3" borderId="1" xfId="0" applyFont="1" applyFill="1" applyBorder="1" applyAlignment="1" applyProtection="1">
      <alignment horizontal="left"/>
      <protection hidden="1"/>
    </xf>
    <xf numFmtId="0" fontId="35" fillId="3" borderId="0" xfId="0" applyFont="1" applyFill="1" applyProtection="1">
      <protection hidden="1"/>
    </xf>
    <xf numFmtId="0" fontId="35" fillId="3" borderId="0" xfId="0" applyFont="1" applyFill="1" applyBorder="1" applyProtection="1">
      <protection hidden="1"/>
    </xf>
    <xf numFmtId="166" fontId="13" fillId="5" borderId="25" xfId="0" applyNumberFormat="1" applyFont="1" applyFill="1" applyBorder="1" applyAlignment="1" applyProtection="1">
      <alignment horizontal="center"/>
      <protection locked="0"/>
    </xf>
    <xf numFmtId="2" fontId="13" fillId="4" borderId="107" xfId="0" applyNumberFormat="1" applyFont="1" applyFill="1" applyBorder="1" applyAlignment="1" applyProtection="1">
      <alignment horizontal="center"/>
      <protection hidden="1"/>
    </xf>
    <xf numFmtId="2" fontId="13" fillId="5" borderId="108" xfId="0" applyNumberFormat="1" applyFont="1" applyFill="1" applyBorder="1" applyAlignment="1" applyProtection="1">
      <alignment horizontal="center"/>
      <protection locked="0"/>
    </xf>
    <xf numFmtId="2" fontId="13" fillId="5" borderId="22" xfId="0" applyNumberFormat="1" applyFont="1" applyFill="1" applyBorder="1" applyAlignment="1" applyProtection="1">
      <alignment horizontal="center"/>
      <protection locked="0"/>
    </xf>
    <xf numFmtId="2" fontId="13" fillId="4" borderId="109" xfId="0" applyNumberFormat="1" applyFont="1" applyFill="1" applyBorder="1" applyAlignment="1" applyProtection="1">
      <alignment horizontal="center"/>
      <protection hidden="1"/>
    </xf>
    <xf numFmtId="0" fontId="23" fillId="3" borderId="71" xfId="0" applyFont="1" applyFill="1" applyBorder="1" applyAlignment="1" applyProtection="1">
      <alignment vertical="center" wrapText="1"/>
      <protection hidden="1"/>
    </xf>
    <xf numFmtId="0" fontId="23" fillId="3" borderId="0" xfId="0" applyFont="1" applyFill="1" applyBorder="1" applyAlignment="1" applyProtection="1">
      <alignment vertical="center" wrapText="1"/>
      <protection hidden="1"/>
    </xf>
    <xf numFmtId="2" fontId="13" fillId="4" borderId="110" xfId="0" applyNumberFormat="1" applyFont="1" applyFill="1" applyBorder="1" applyAlignment="1" applyProtection="1">
      <alignment horizontal="center"/>
      <protection hidden="1"/>
    </xf>
    <xf numFmtId="0" fontId="13" fillId="5" borderId="65" xfId="0" applyFont="1" applyFill="1" applyBorder="1" applyAlignment="1" applyProtection="1">
      <alignment horizontal="center"/>
      <protection locked="0"/>
    </xf>
    <xf numFmtId="2" fontId="33" fillId="4" borderId="81" xfId="0" applyNumberFormat="1" applyFont="1" applyFill="1" applyBorder="1" applyAlignment="1" applyProtection="1">
      <alignment horizontal="center"/>
      <protection hidden="1"/>
    </xf>
    <xf numFmtId="166" fontId="13" fillId="7" borderId="16" xfId="0" applyNumberFormat="1" applyFont="1" applyFill="1" applyBorder="1" applyAlignment="1" applyProtection="1">
      <alignment horizontal="center"/>
      <protection locked="0" hidden="1"/>
    </xf>
    <xf numFmtId="166" fontId="13" fillId="7" borderId="21" xfId="0" applyNumberFormat="1" applyFont="1" applyFill="1" applyBorder="1" applyAlignment="1" applyProtection="1">
      <alignment horizontal="center"/>
      <protection locked="0" hidden="1"/>
    </xf>
    <xf numFmtId="0" fontId="30" fillId="3" borderId="22" xfId="0" applyFont="1" applyFill="1" applyBorder="1" applyAlignment="1" applyProtection="1">
      <alignment horizontal="center"/>
      <protection hidden="1"/>
    </xf>
    <xf numFmtId="164" fontId="23" fillId="3" borderId="0" xfId="0" applyNumberFormat="1" applyFont="1" applyFill="1" applyBorder="1" applyAlignment="1" applyProtection="1">
      <alignment horizontal="center"/>
      <protection hidden="1"/>
    </xf>
    <xf numFmtId="0" fontId="22" fillId="3" borderId="0" xfId="0" applyFont="1" applyFill="1" applyBorder="1" applyAlignment="1" applyProtection="1">
      <protection hidden="1"/>
    </xf>
    <xf numFmtId="0" fontId="23" fillId="3" borderId="70" xfId="0" applyFont="1" applyFill="1" applyBorder="1" applyProtection="1">
      <protection hidden="1"/>
    </xf>
    <xf numFmtId="2" fontId="13" fillId="7" borderId="1" xfId="0" applyNumberFormat="1" applyFont="1" applyFill="1" applyBorder="1" applyAlignment="1" applyProtection="1">
      <alignment horizontal="center"/>
      <protection locked="0" hidden="1"/>
    </xf>
    <xf numFmtId="2" fontId="23" fillId="3" borderId="26" xfId="0" applyNumberFormat="1" applyFont="1" applyFill="1" applyBorder="1" applyAlignment="1" applyProtection="1">
      <alignment horizontal="center"/>
      <protection hidden="1"/>
    </xf>
    <xf numFmtId="2" fontId="23" fillId="3" borderId="112" xfId="0" applyNumberFormat="1" applyFont="1" applyFill="1" applyBorder="1" applyAlignment="1" applyProtection="1">
      <alignment horizontal="center"/>
      <protection hidden="1"/>
    </xf>
    <xf numFmtId="2" fontId="23" fillId="3" borderId="84" xfId="0" applyNumberFormat="1" applyFont="1" applyFill="1" applyBorder="1" applyAlignment="1" applyProtection="1">
      <alignment horizontal="center"/>
      <protection hidden="1"/>
    </xf>
    <xf numFmtId="2" fontId="22" fillId="3" borderId="85" xfId="0" applyNumberFormat="1" applyFont="1" applyFill="1" applyBorder="1" applyAlignment="1" applyProtection="1">
      <alignment horizontal="center"/>
      <protection hidden="1"/>
    </xf>
    <xf numFmtId="2" fontId="23" fillId="3" borderId="111" xfId="0" applyNumberFormat="1" applyFont="1" applyFill="1" applyBorder="1" applyAlignment="1" applyProtection="1">
      <alignment horizontal="center"/>
      <protection hidden="1"/>
    </xf>
    <xf numFmtId="9" fontId="23" fillId="3" borderId="26" xfId="0" applyNumberFormat="1" applyFont="1" applyFill="1" applyBorder="1" applyAlignment="1" applyProtection="1">
      <alignment horizontal="center"/>
      <protection hidden="1"/>
    </xf>
    <xf numFmtId="0" fontId="23" fillId="3" borderId="65" xfId="0" applyFont="1" applyFill="1" applyBorder="1" applyAlignment="1" applyProtection="1">
      <alignment horizontal="center"/>
      <protection hidden="1"/>
    </xf>
    <xf numFmtId="0" fontId="23" fillId="3" borderId="72" xfId="0" applyFont="1" applyFill="1" applyBorder="1" applyAlignment="1" applyProtection="1">
      <alignment vertical="center" wrapText="1"/>
      <protection hidden="1"/>
    </xf>
    <xf numFmtId="2" fontId="13" fillId="4" borderId="46" xfId="0" applyNumberFormat="1" applyFont="1" applyFill="1" applyBorder="1" applyAlignment="1" applyProtection="1">
      <alignment horizontal="center"/>
      <protection hidden="1"/>
    </xf>
    <xf numFmtId="2" fontId="13" fillId="4" borderId="66" xfId="0" applyNumberFormat="1" applyFont="1" applyFill="1" applyBorder="1" applyAlignment="1" applyProtection="1">
      <alignment horizontal="center"/>
      <protection hidden="1"/>
    </xf>
    <xf numFmtId="2" fontId="13" fillId="4" borderId="99" xfId="0" applyNumberFormat="1" applyFont="1" applyFill="1" applyBorder="1" applyAlignment="1" applyProtection="1">
      <alignment horizontal="center"/>
      <protection hidden="1"/>
    </xf>
    <xf numFmtId="2" fontId="13" fillId="5" borderId="1" xfId="0" applyNumberFormat="1" applyFont="1" applyFill="1" applyBorder="1" applyAlignment="1" applyProtection="1">
      <alignment horizontal="center"/>
      <protection locked="0" hidden="1"/>
    </xf>
    <xf numFmtId="0" fontId="0" fillId="3" borderId="0" xfId="0" applyFill="1"/>
    <xf numFmtId="167" fontId="13" fillId="7" borderId="1" xfId="0" applyNumberFormat="1" applyFont="1" applyFill="1" applyBorder="1" applyAlignment="1" applyProtection="1">
      <alignment horizontal="left"/>
      <protection locked="0" hidden="1"/>
    </xf>
    <xf numFmtId="2" fontId="23" fillId="3" borderId="25" xfId="0" applyNumberFormat="1" applyFont="1" applyFill="1" applyBorder="1" applyAlignment="1" applyProtection="1">
      <alignment horizontal="center"/>
      <protection hidden="1"/>
    </xf>
    <xf numFmtId="2" fontId="23" fillId="3" borderId="65" xfId="0" applyNumberFormat="1" applyFont="1" applyFill="1" applyBorder="1" applyAlignment="1" applyProtection="1">
      <alignment horizontal="center"/>
      <protection hidden="1"/>
    </xf>
    <xf numFmtId="166" fontId="23" fillId="3" borderId="25" xfId="0" applyNumberFormat="1" applyFont="1" applyFill="1" applyBorder="1" applyAlignment="1" applyProtection="1">
      <alignment horizontal="center"/>
      <protection hidden="1"/>
    </xf>
    <xf numFmtId="166" fontId="23" fillId="3" borderId="26" xfId="0" applyNumberFormat="1" applyFont="1" applyFill="1" applyBorder="1" applyAlignment="1" applyProtection="1">
      <alignment horizontal="center"/>
      <protection hidden="1"/>
    </xf>
    <xf numFmtId="166" fontId="23" fillId="3" borderId="65" xfId="0" applyNumberFormat="1" applyFont="1" applyFill="1" applyBorder="1" applyAlignment="1" applyProtection="1">
      <alignment horizontal="center"/>
      <protection hidden="1"/>
    </xf>
    <xf numFmtId="0" fontId="23" fillId="3" borderId="26" xfId="0" applyFont="1" applyFill="1" applyBorder="1" applyAlignment="1" applyProtection="1">
      <alignment horizontal="center"/>
      <protection hidden="1"/>
    </xf>
    <xf numFmtId="167" fontId="13" fillId="6" borderId="16" xfId="0" applyNumberFormat="1" applyFont="1" applyFill="1" applyBorder="1" applyAlignment="1" applyProtection="1">
      <alignment horizontal="center"/>
      <protection locked="0" hidden="1"/>
    </xf>
    <xf numFmtId="167" fontId="13" fillId="6" borderId="19" xfId="0" applyNumberFormat="1" applyFont="1" applyFill="1" applyBorder="1" applyAlignment="1" applyProtection="1">
      <alignment horizontal="center"/>
      <protection locked="0" hidden="1"/>
    </xf>
    <xf numFmtId="167" fontId="13" fillId="6" borderId="24" xfId="0" applyNumberFormat="1" applyFont="1" applyFill="1" applyBorder="1" applyAlignment="1" applyProtection="1">
      <alignment horizontal="center"/>
      <protection locked="0" hidden="1"/>
    </xf>
    <xf numFmtId="2" fontId="23" fillId="3" borderId="51" xfId="0" applyNumberFormat="1" applyFont="1" applyFill="1" applyBorder="1" applyAlignment="1" applyProtection="1">
      <alignment horizontal="center"/>
      <protection hidden="1"/>
    </xf>
    <xf numFmtId="2" fontId="23" fillId="3" borderId="114" xfId="0" applyNumberFormat="1" applyFont="1" applyFill="1" applyBorder="1" applyAlignment="1" applyProtection="1">
      <alignment horizontal="center"/>
      <protection hidden="1"/>
    </xf>
    <xf numFmtId="2" fontId="23" fillId="3" borderId="115" xfId="0" applyNumberFormat="1" applyFont="1" applyFill="1" applyBorder="1" applyAlignment="1" applyProtection="1">
      <alignment horizontal="center"/>
      <protection hidden="1"/>
    </xf>
    <xf numFmtId="2" fontId="13" fillId="6" borderId="7" xfId="0" applyNumberFormat="1" applyFont="1" applyFill="1" applyBorder="1" applyAlignment="1" applyProtection="1">
      <alignment horizontal="center"/>
      <protection locked="0" hidden="1"/>
    </xf>
    <xf numFmtId="2" fontId="13" fillId="6" borderId="20" xfId="0" applyNumberFormat="1" applyFont="1" applyFill="1" applyBorder="1" applyAlignment="1" applyProtection="1">
      <alignment horizontal="center"/>
      <protection locked="0" hidden="1"/>
    </xf>
    <xf numFmtId="2" fontId="13" fillId="6" borderId="9" xfId="0" applyNumberFormat="1" applyFont="1" applyFill="1" applyBorder="1" applyAlignment="1" applyProtection="1">
      <alignment horizontal="center"/>
      <protection locked="0" hidden="1"/>
    </xf>
    <xf numFmtId="2" fontId="33" fillId="3" borderId="85" xfId="0" applyNumberFormat="1" applyFont="1" applyFill="1" applyBorder="1" applyAlignment="1" applyProtection="1">
      <alignment horizontal="center"/>
      <protection hidden="1"/>
    </xf>
    <xf numFmtId="2" fontId="23" fillId="3" borderId="28" xfId="0" applyNumberFormat="1" applyFont="1" applyFill="1" applyBorder="1" applyAlignment="1" applyProtection="1">
      <alignment horizontal="center"/>
      <protection hidden="1"/>
    </xf>
    <xf numFmtId="167" fontId="23" fillId="3" borderId="51" xfId="0" applyNumberFormat="1" applyFont="1" applyFill="1" applyBorder="1" applyAlignment="1" applyProtection="1">
      <alignment horizontal="center"/>
      <protection hidden="1"/>
    </xf>
    <xf numFmtId="167" fontId="23" fillId="3" borderId="114" xfId="0" applyNumberFormat="1" applyFont="1" applyFill="1" applyBorder="1" applyAlignment="1" applyProtection="1">
      <alignment horizontal="center"/>
      <protection hidden="1"/>
    </xf>
    <xf numFmtId="167" fontId="23" fillId="3" borderId="113" xfId="0" applyNumberFormat="1" applyFont="1" applyFill="1" applyBorder="1" applyAlignment="1" applyProtection="1">
      <alignment horizontal="center"/>
      <protection hidden="1"/>
    </xf>
    <xf numFmtId="166" fontId="23" fillId="3" borderId="116" xfId="0" applyNumberFormat="1" applyFont="1" applyFill="1" applyBorder="1" applyAlignment="1" applyProtection="1">
      <alignment horizontal="center"/>
      <protection hidden="1"/>
    </xf>
    <xf numFmtId="2" fontId="13" fillId="4" borderId="1" xfId="0" applyNumberFormat="1" applyFont="1" applyFill="1" applyBorder="1" applyAlignment="1" applyProtection="1">
      <alignment horizontal="left"/>
      <protection hidden="1"/>
    </xf>
    <xf numFmtId="167" fontId="13" fillId="5" borderId="1" xfId="0" applyNumberFormat="1" applyFont="1" applyFill="1" applyBorder="1" applyAlignment="1" applyProtection="1">
      <alignment horizontal="left"/>
      <protection locked="0" hidden="1"/>
    </xf>
    <xf numFmtId="168" fontId="13" fillId="7" borderId="70" xfId="2" applyNumberFormat="1" applyFont="1" applyFill="1" applyBorder="1" applyAlignment="1" applyProtection="1">
      <alignment horizontal="left"/>
      <protection locked="0" hidden="1"/>
    </xf>
    <xf numFmtId="168" fontId="13" fillId="5" borderId="70" xfId="2" applyNumberFormat="1" applyFont="1" applyFill="1" applyBorder="1" applyAlignment="1" applyProtection="1">
      <alignment horizontal="left"/>
      <protection locked="0" hidden="1"/>
    </xf>
    <xf numFmtId="0" fontId="23" fillId="3" borderId="117" xfId="0" applyFont="1" applyFill="1" applyBorder="1" applyAlignment="1" applyProtection="1">
      <alignment horizontal="center"/>
      <protection hidden="1"/>
    </xf>
    <xf numFmtId="0" fontId="23" fillId="3" borderId="1" xfId="0" applyFont="1" applyFill="1" applyBorder="1" applyAlignment="1" applyProtection="1">
      <alignment horizontal="center"/>
      <protection hidden="1"/>
    </xf>
    <xf numFmtId="2" fontId="23" fillId="3" borderId="0" xfId="0" applyNumberFormat="1" applyFont="1" applyFill="1" applyAlignment="1" applyProtection="1">
      <alignment horizontal="center"/>
      <protection hidden="1"/>
    </xf>
    <xf numFmtId="167" fontId="13" fillId="0" borderId="14" xfId="5" applyNumberFormat="1" applyFont="1" applyFill="1" applyBorder="1" applyAlignment="1" applyProtection="1">
      <alignment horizontal="center"/>
      <protection hidden="1"/>
    </xf>
    <xf numFmtId="2" fontId="13" fillId="0" borderId="0" xfId="5" applyNumberFormat="1" applyFont="1" applyAlignment="1" applyProtection="1">
      <alignment horizontal="center"/>
      <protection hidden="1"/>
    </xf>
    <xf numFmtId="0" fontId="36" fillId="0" borderId="0" xfId="5" applyFont="1" applyAlignment="1" applyProtection="1">
      <alignment horizontal="right"/>
      <protection hidden="1"/>
    </xf>
    <xf numFmtId="0" fontId="13" fillId="9" borderId="0" xfId="5" applyFont="1" applyFill="1" applyAlignment="1" applyProtection="1">
      <alignment horizontal="center"/>
      <protection locked="0"/>
    </xf>
    <xf numFmtId="164" fontId="13" fillId="0" borderId="14" xfId="5" applyNumberFormat="1" applyFont="1" applyFill="1" applyBorder="1" applyAlignment="1" applyProtection="1">
      <alignment horizontal="center"/>
      <protection locked="0" hidden="1"/>
    </xf>
    <xf numFmtId="167" fontId="13" fillId="0" borderId="0" xfId="5" applyNumberFormat="1" applyFont="1" applyFill="1" applyBorder="1" applyAlignment="1" applyProtection="1">
      <alignment horizontal="center"/>
      <protection locked="0" hidden="1"/>
    </xf>
    <xf numFmtId="164" fontId="13" fillId="0" borderId="5" xfId="5" applyNumberFormat="1" applyFont="1" applyFill="1" applyBorder="1" applyAlignment="1" applyProtection="1">
      <alignment horizontal="center"/>
      <protection locked="0" hidden="1"/>
    </xf>
    <xf numFmtId="167" fontId="13" fillId="0" borderId="16" xfId="5" applyNumberFormat="1" applyFont="1" applyFill="1" applyBorder="1" applyAlignment="1" applyProtection="1">
      <alignment horizontal="center"/>
      <protection locked="0" hidden="1"/>
    </xf>
    <xf numFmtId="166" fontId="13" fillId="9" borderId="0" xfId="5" applyNumberFormat="1" applyFont="1" applyFill="1" applyAlignment="1" applyProtection="1">
      <alignment horizontal="center"/>
      <protection locked="0" hidden="1"/>
    </xf>
    <xf numFmtId="0" fontId="22" fillId="3" borderId="22" xfId="0" applyFont="1" applyFill="1" applyBorder="1" applyAlignment="1" applyProtection="1">
      <alignment horizontal="right"/>
      <protection hidden="1"/>
    </xf>
    <xf numFmtId="0" fontId="13" fillId="5" borderId="88" xfId="0" applyFont="1" applyFill="1" applyBorder="1" applyProtection="1">
      <protection locked="0"/>
    </xf>
    <xf numFmtId="0" fontId="24" fillId="3" borderId="0" xfId="0" applyFont="1" applyFill="1" applyBorder="1" applyAlignment="1" applyProtection="1">
      <protection hidden="1"/>
    </xf>
    <xf numFmtId="0" fontId="24" fillId="3" borderId="1" xfId="0" applyFont="1" applyFill="1" applyBorder="1" applyAlignment="1" applyProtection="1">
      <protection hidden="1"/>
    </xf>
    <xf numFmtId="0" fontId="22" fillId="3" borderId="1" xfId="0" applyFont="1" applyFill="1" applyBorder="1" applyAlignment="1" applyProtection="1">
      <alignment horizontal="right"/>
      <protection hidden="1"/>
    </xf>
    <xf numFmtId="0" fontId="22" fillId="3" borderId="22" xfId="0" applyFont="1" applyFill="1" applyBorder="1" applyAlignment="1" applyProtection="1">
      <alignment horizontal="right"/>
      <protection hidden="1"/>
    </xf>
    <xf numFmtId="0" fontId="13" fillId="5" borderId="80" xfId="0" applyFont="1" applyFill="1" applyBorder="1" applyAlignment="1" applyProtection="1">
      <protection locked="0" hidden="1"/>
    </xf>
    <xf numFmtId="0" fontId="13" fillId="5" borderId="118" xfId="0" applyFont="1" applyFill="1" applyBorder="1" applyAlignment="1" applyProtection="1">
      <alignment horizontal="center"/>
      <protection locked="0"/>
    </xf>
    <xf numFmtId="2" fontId="13" fillId="4" borderId="8" xfId="0" applyNumberFormat="1" applyFont="1" applyFill="1" applyBorder="1" applyAlignment="1" applyProtection="1">
      <alignment horizontal="center"/>
      <protection hidden="1"/>
    </xf>
    <xf numFmtId="2" fontId="13" fillId="4" borderId="17" xfId="0" applyNumberFormat="1" applyFont="1" applyFill="1" applyBorder="1" applyAlignment="1" applyProtection="1">
      <alignment horizontal="center"/>
      <protection hidden="1"/>
    </xf>
    <xf numFmtId="0" fontId="23" fillId="3" borderId="18" xfId="0" applyFont="1" applyFill="1" applyBorder="1" applyProtection="1">
      <protection hidden="1"/>
    </xf>
    <xf numFmtId="0" fontId="23" fillId="3" borderId="19" xfId="0" applyFont="1" applyFill="1" applyBorder="1" applyProtection="1">
      <protection hidden="1"/>
    </xf>
    <xf numFmtId="0" fontId="23" fillId="3" borderId="19" xfId="0" applyFont="1" applyFill="1" applyBorder="1" applyAlignment="1" applyProtection="1">
      <alignment horizontal="center"/>
      <protection hidden="1"/>
    </xf>
    <xf numFmtId="0" fontId="28" fillId="3" borderId="19" xfId="0" applyFont="1" applyFill="1" applyBorder="1" applyAlignment="1" applyProtection="1">
      <alignment horizontal="center"/>
      <protection hidden="1"/>
    </xf>
    <xf numFmtId="0" fontId="28" fillId="3" borderId="20" xfId="0" applyFont="1" applyFill="1" applyBorder="1" applyAlignment="1" applyProtection="1">
      <alignment horizontal="right"/>
      <protection hidden="1"/>
    </xf>
    <xf numFmtId="2" fontId="23" fillId="3" borderId="19" xfId="0" applyNumberFormat="1" applyFont="1" applyFill="1" applyBorder="1" applyAlignment="1" applyProtection="1">
      <alignment horizontal="center"/>
      <protection hidden="1"/>
    </xf>
    <xf numFmtId="2" fontId="23" fillId="3" borderId="20" xfId="0" applyNumberFormat="1" applyFont="1" applyFill="1" applyBorder="1" applyAlignment="1" applyProtection="1">
      <alignment horizontal="center"/>
      <protection hidden="1"/>
    </xf>
    <xf numFmtId="0" fontId="13" fillId="5" borderId="28" xfId="0" applyFont="1" applyFill="1" applyBorder="1" applyAlignment="1" applyProtection="1">
      <alignment horizontal="center"/>
      <protection locked="0"/>
    </xf>
    <xf numFmtId="2" fontId="13" fillId="5" borderId="0" xfId="0" applyNumberFormat="1" applyFont="1" applyFill="1" applyBorder="1" applyAlignment="1" applyProtection="1">
      <alignment horizontal="center"/>
      <protection locked="0"/>
    </xf>
    <xf numFmtId="2" fontId="13" fillId="4" borderId="0" xfId="0" applyNumberFormat="1" applyFont="1" applyFill="1" applyBorder="1" applyAlignment="1" applyProtection="1">
      <alignment horizontal="center" vertical="center" wrapText="1"/>
      <protection hidden="1"/>
    </xf>
    <xf numFmtId="0" fontId="10" fillId="5" borderId="25" xfId="0" applyFont="1" applyFill="1" applyBorder="1" applyAlignment="1" applyProtection="1">
      <alignment horizontal="center"/>
      <protection locked="0"/>
    </xf>
    <xf numFmtId="168" fontId="13" fillId="4" borderId="33" xfId="0" applyNumberFormat="1" applyFont="1" applyFill="1" applyBorder="1" applyAlignment="1" applyProtection="1">
      <alignment horizontal="center"/>
      <protection hidden="1"/>
    </xf>
    <xf numFmtId="168" fontId="13" fillId="4" borderId="8" xfId="0" applyNumberFormat="1" applyFont="1" applyFill="1" applyBorder="1" applyAlignment="1" applyProtection="1">
      <alignment horizontal="center"/>
      <protection hidden="1"/>
    </xf>
    <xf numFmtId="9" fontId="22" fillId="3" borderId="2" xfId="2" applyFont="1" applyFill="1" applyBorder="1" applyAlignment="1" applyProtection="1">
      <alignment horizontal="center"/>
      <protection hidden="1"/>
    </xf>
    <xf numFmtId="2" fontId="22" fillId="3" borderId="10" xfId="0" applyNumberFormat="1" applyFont="1" applyFill="1" applyBorder="1" applyAlignment="1" applyProtection="1">
      <alignment horizontal="center"/>
      <protection hidden="1"/>
    </xf>
    <xf numFmtId="1" fontId="13" fillId="5" borderId="32" xfId="0" applyNumberFormat="1" applyFont="1" applyFill="1" applyBorder="1" applyAlignment="1" applyProtection="1">
      <alignment horizontal="center"/>
      <protection hidden="1"/>
    </xf>
    <xf numFmtId="1" fontId="23" fillId="3" borderId="9" xfId="0" applyNumberFormat="1" applyFont="1" applyFill="1" applyBorder="1" applyAlignment="1" applyProtection="1">
      <alignment horizontal="center"/>
      <protection hidden="1"/>
    </xf>
    <xf numFmtId="0" fontId="22" fillId="3" borderId="119" xfId="0" applyFont="1" applyFill="1" applyBorder="1" applyAlignment="1" applyProtection="1">
      <alignment horizontal="center"/>
      <protection hidden="1"/>
    </xf>
    <xf numFmtId="164" fontId="13" fillId="4" borderId="110" xfId="0" applyNumberFormat="1" applyFont="1" applyFill="1" applyBorder="1" applyAlignment="1" applyProtection="1">
      <alignment horizontal="center"/>
      <protection hidden="1"/>
    </xf>
    <xf numFmtId="164" fontId="22" fillId="3" borderId="79" xfId="0" applyNumberFormat="1" applyFont="1" applyFill="1" applyBorder="1" applyAlignment="1" applyProtection="1">
      <alignment horizontal="center"/>
      <protection hidden="1"/>
    </xf>
    <xf numFmtId="0" fontId="10" fillId="7" borderId="25" xfId="0" applyFont="1" applyFill="1" applyBorder="1" applyAlignment="1" applyProtection="1">
      <alignment horizontal="center"/>
      <protection locked="0"/>
    </xf>
    <xf numFmtId="0" fontId="22" fillId="3" borderId="78" xfId="0" applyFont="1" applyFill="1" applyBorder="1" applyAlignment="1" applyProtection="1">
      <alignment horizontal="right"/>
      <protection hidden="1"/>
    </xf>
    <xf numFmtId="2" fontId="22" fillId="3" borderId="24" xfId="0" applyNumberFormat="1" applyFont="1" applyFill="1" applyBorder="1" applyAlignment="1" applyProtection="1">
      <alignment horizontal="left"/>
      <protection hidden="1"/>
    </xf>
    <xf numFmtId="0" fontId="23" fillId="3" borderId="76" xfId="0" applyFont="1" applyFill="1" applyBorder="1" applyAlignment="1" applyProtection="1">
      <protection hidden="1"/>
    </xf>
    <xf numFmtId="0" fontId="23" fillId="3" borderId="1" xfId="0" applyFont="1" applyFill="1" applyBorder="1" applyAlignment="1" applyProtection="1">
      <protection hidden="1"/>
    </xf>
    <xf numFmtId="0" fontId="13" fillId="7" borderId="28" xfId="0" applyFont="1" applyFill="1" applyBorder="1" applyAlignment="1" applyProtection="1">
      <alignment horizontal="center"/>
      <protection locked="0" hidden="1"/>
    </xf>
    <xf numFmtId="166" fontId="23" fillId="3" borderId="29" xfId="0" applyNumberFormat="1" applyFont="1" applyFill="1" applyBorder="1" applyAlignment="1" applyProtection="1">
      <alignment horizontal="center"/>
      <protection locked="0" hidden="1"/>
    </xf>
    <xf numFmtId="166" fontId="23" fillId="3" borderId="8" xfId="0" applyNumberFormat="1" applyFont="1" applyFill="1" applyBorder="1" applyAlignment="1" applyProtection="1">
      <alignment horizontal="center"/>
      <protection locked="0" hidden="1"/>
    </xf>
    <xf numFmtId="166" fontId="13" fillId="5" borderId="29" xfId="0" applyNumberFormat="1" applyFont="1" applyFill="1" applyBorder="1" applyAlignment="1" applyProtection="1">
      <alignment horizontal="center"/>
      <protection locked="0" hidden="1"/>
    </xf>
    <xf numFmtId="166" fontId="13" fillId="5" borderId="8" xfId="0" applyNumberFormat="1" applyFont="1" applyFill="1" applyBorder="1" applyAlignment="1" applyProtection="1">
      <alignment horizontal="center"/>
      <protection locked="0" hidden="1"/>
    </xf>
    <xf numFmtId="0" fontId="10" fillId="6" borderId="25" xfId="0" applyFont="1" applyFill="1" applyBorder="1" applyAlignment="1" applyProtection="1">
      <alignment horizontal="center"/>
      <protection locked="0"/>
    </xf>
    <xf numFmtId="0" fontId="13" fillId="6" borderId="28" xfId="0" applyFont="1" applyFill="1" applyBorder="1" applyAlignment="1" applyProtection="1">
      <alignment horizontal="center"/>
      <protection locked="0" hidden="1"/>
    </xf>
    <xf numFmtId="0" fontId="35" fillId="3" borderId="123" xfId="0" applyFont="1" applyFill="1" applyBorder="1" applyProtection="1">
      <protection hidden="1"/>
    </xf>
    <xf numFmtId="0" fontId="22" fillId="3" borderId="123" xfId="0" applyFont="1" applyFill="1" applyBorder="1" applyProtection="1">
      <protection hidden="1"/>
    </xf>
    <xf numFmtId="0" fontId="23" fillId="3" borderId="123" xfId="0" applyFont="1" applyFill="1" applyBorder="1" applyProtection="1">
      <protection hidden="1"/>
    </xf>
    <xf numFmtId="0" fontId="22" fillId="3" borderId="0" xfId="0" applyFont="1" applyFill="1" applyBorder="1" applyAlignment="1" applyProtection="1">
      <alignment horizontal="right"/>
      <protection locked="0" hidden="1"/>
    </xf>
    <xf numFmtId="0" fontId="22" fillId="3" borderId="0" xfId="0" applyFont="1" applyFill="1" applyBorder="1" applyAlignment="1" applyProtection="1">
      <alignment horizontal="right"/>
      <protection locked="0"/>
    </xf>
    <xf numFmtId="1" fontId="10" fillId="0" borderId="0" xfId="0" applyNumberFormat="1" applyFont="1" applyAlignment="1" applyProtection="1">
      <alignment horizontal="center"/>
      <protection locked="0"/>
    </xf>
    <xf numFmtId="166" fontId="10" fillId="0" borderId="0" xfId="0" applyNumberFormat="1" applyFont="1" applyAlignment="1" applyProtection="1">
      <alignment horizontal="center"/>
      <protection locked="0"/>
    </xf>
    <xf numFmtId="0" fontId="1" fillId="0" borderId="0" xfId="6" applyFont="1" applyAlignment="1">
      <alignment wrapText="1"/>
    </xf>
    <xf numFmtId="165" fontId="14" fillId="4" borderId="0" xfId="0" applyNumberFormat="1" applyFont="1" applyFill="1" applyBorder="1" applyAlignment="1" applyProtection="1">
      <alignment horizontal="center"/>
      <protection hidden="1"/>
    </xf>
    <xf numFmtId="165" fontId="14" fillId="4" borderId="43" xfId="0" applyNumberFormat="1" applyFont="1" applyFill="1" applyBorder="1" applyAlignment="1" applyProtection="1">
      <alignment horizontal="center"/>
      <protection hidden="1"/>
    </xf>
    <xf numFmtId="165" fontId="14" fillId="4" borderId="40" xfId="0" applyNumberFormat="1" applyFont="1" applyFill="1" applyBorder="1" applyAlignment="1" applyProtection="1">
      <alignment horizontal="center"/>
      <protection hidden="1"/>
    </xf>
    <xf numFmtId="2" fontId="14" fillId="4" borderId="0" xfId="0" applyNumberFormat="1" applyFont="1" applyFill="1" applyBorder="1" applyAlignment="1" applyProtection="1">
      <alignment horizontal="center"/>
      <protection hidden="1"/>
    </xf>
    <xf numFmtId="164" fontId="13" fillId="4" borderId="99" xfId="0" applyNumberFormat="1" applyFont="1" applyFill="1" applyBorder="1" applyAlignment="1" applyProtection="1">
      <alignment horizontal="center"/>
      <protection hidden="1"/>
    </xf>
    <xf numFmtId="1" fontId="13" fillId="4" borderId="40" xfId="0" applyNumberFormat="1" applyFont="1" applyFill="1" applyBorder="1" applyAlignment="1" applyProtection="1">
      <alignment horizontal="center"/>
      <protection hidden="1"/>
    </xf>
    <xf numFmtId="165" fontId="27" fillId="3" borderId="0" xfId="0" applyNumberFormat="1" applyFont="1" applyFill="1" applyBorder="1" applyAlignment="1" applyProtection="1">
      <alignment horizontal="center"/>
      <protection hidden="1"/>
    </xf>
    <xf numFmtId="165" fontId="27" fillId="3" borderId="43" xfId="0" applyNumberFormat="1" applyFont="1" applyFill="1" applyBorder="1" applyAlignment="1" applyProtection="1">
      <alignment horizontal="center"/>
      <protection hidden="1"/>
    </xf>
    <xf numFmtId="2" fontId="27" fillId="3" borderId="0" xfId="0" applyNumberFormat="1" applyFont="1" applyFill="1" applyBorder="1" applyAlignment="1" applyProtection="1">
      <alignment horizontal="center"/>
      <protection hidden="1"/>
    </xf>
    <xf numFmtId="2" fontId="27" fillId="3" borderId="40" xfId="0" applyNumberFormat="1" applyFont="1" applyFill="1" applyBorder="1" applyAlignment="1" applyProtection="1">
      <alignment horizontal="center"/>
      <protection hidden="1"/>
    </xf>
    <xf numFmtId="165" fontId="27" fillId="3" borderId="40" xfId="0" applyNumberFormat="1" applyFont="1" applyFill="1" applyBorder="1" applyAlignment="1" applyProtection="1">
      <alignment horizontal="center"/>
      <protection hidden="1"/>
    </xf>
    <xf numFmtId="164" fontId="23" fillId="3" borderId="99" xfId="0" applyNumberFormat="1" applyFont="1" applyFill="1" applyBorder="1" applyAlignment="1" applyProtection="1">
      <alignment horizontal="center"/>
      <protection hidden="1"/>
    </xf>
    <xf numFmtId="2" fontId="23" fillId="3" borderId="41" xfId="0" applyNumberFormat="1" applyFont="1" applyFill="1" applyBorder="1" applyAlignment="1" applyProtection="1">
      <alignment horizontal="center"/>
      <protection hidden="1"/>
    </xf>
    <xf numFmtId="167" fontId="23" fillId="3" borderId="42" xfId="0" applyNumberFormat="1" applyFont="1" applyFill="1" applyBorder="1" applyAlignment="1" applyProtection="1">
      <alignment horizontal="center"/>
      <protection hidden="1"/>
    </xf>
    <xf numFmtId="0" fontId="32" fillId="0" borderId="0" xfId="6" applyFont="1"/>
    <xf numFmtId="0" fontId="2" fillId="0" borderId="0" xfId="6"/>
    <xf numFmtId="0" fontId="1" fillId="0" borderId="0" xfId="6" applyFont="1"/>
    <xf numFmtId="1" fontId="2" fillId="0" borderId="0" xfId="7" applyNumberFormat="1" applyAlignment="1" applyProtection="1">
      <alignment horizontal="center"/>
      <protection locked="0"/>
    </xf>
    <xf numFmtId="0" fontId="1" fillId="0" borderId="0" xfId="6" quotePrefix="1" applyFont="1"/>
    <xf numFmtId="1" fontId="1" fillId="0" borderId="0" xfId="7" applyNumberFormat="1" applyFont="1" applyAlignment="1" applyProtection="1">
      <alignment horizontal="center"/>
      <protection locked="0"/>
    </xf>
    <xf numFmtId="0" fontId="11" fillId="0" borderId="0" xfId="0" applyFont="1" applyProtection="1">
      <protection locked="0"/>
    </xf>
    <xf numFmtId="0" fontId="11" fillId="0" borderId="0" xfId="0" applyFont="1" applyAlignment="1" applyProtection="1">
      <alignment horizontal="center"/>
      <protection locked="0"/>
    </xf>
    <xf numFmtId="0" fontId="18" fillId="0" borderId="0" xfId="0" applyFont="1" applyProtection="1">
      <protection locked="0"/>
    </xf>
    <xf numFmtId="0" fontId="10" fillId="0" borderId="0" xfId="0" applyFont="1" applyAlignment="1" applyProtection="1">
      <alignment horizontal="center"/>
      <protection locked="0"/>
    </xf>
    <xf numFmtId="0" fontId="11" fillId="0" borderId="0" xfId="0" applyFont="1" applyAlignment="1" applyProtection="1">
      <alignment vertical="top" wrapText="1"/>
      <protection locked="0"/>
    </xf>
    <xf numFmtId="0" fontId="10" fillId="0" borderId="0" xfId="0" applyFont="1" applyAlignment="1" applyProtection="1">
      <alignment vertical="top" wrapText="1"/>
      <protection locked="0"/>
    </xf>
    <xf numFmtId="0" fontId="10" fillId="0" borderId="0" xfId="0" applyFont="1" applyAlignment="1" applyProtection="1">
      <alignment wrapText="1"/>
      <protection locked="0"/>
    </xf>
    <xf numFmtId="0" fontId="12" fillId="0" borderId="0" xfId="0" applyFont="1" applyAlignment="1" applyProtection="1">
      <alignment horizontal="right"/>
      <protection hidden="1"/>
    </xf>
    <xf numFmtId="0" fontId="22" fillId="3" borderId="1" xfId="0" applyFont="1" applyFill="1" applyBorder="1" applyAlignment="1" applyProtection="1">
      <alignment horizontal="right"/>
      <protection hidden="1"/>
    </xf>
    <xf numFmtId="0" fontId="22" fillId="3" borderId="22" xfId="0" applyFont="1" applyFill="1" applyBorder="1" applyAlignment="1" applyProtection="1">
      <alignment horizontal="right"/>
      <protection hidden="1"/>
    </xf>
    <xf numFmtId="167" fontId="13" fillId="5" borderId="28" xfId="0" applyNumberFormat="1" applyFont="1" applyFill="1" applyBorder="1" applyAlignment="1" applyProtection="1">
      <alignment horizontal="center"/>
      <protection locked="0"/>
    </xf>
    <xf numFmtId="0" fontId="13" fillId="9" borderId="0" xfId="5" applyFont="1" applyFill="1" applyAlignment="1" applyProtection="1">
      <alignment horizontal="center"/>
      <protection locked="0" hidden="1"/>
    </xf>
    <xf numFmtId="168" fontId="13" fillId="6" borderId="119" xfId="2" applyNumberFormat="1" applyFont="1" applyFill="1" applyBorder="1" applyAlignment="1" applyProtection="1">
      <alignment horizontal="left"/>
      <protection locked="0" hidden="1"/>
    </xf>
    <xf numFmtId="2" fontId="13" fillId="6" borderId="1" xfId="0" applyNumberFormat="1" applyFont="1" applyFill="1" applyBorder="1" applyAlignment="1" applyProtection="1">
      <alignment horizontal="left"/>
      <protection locked="0" hidden="1"/>
    </xf>
    <xf numFmtId="167" fontId="23" fillId="3" borderId="1" xfId="0" applyNumberFormat="1" applyFont="1" applyFill="1" applyBorder="1" applyAlignment="1" applyProtection="1">
      <alignment horizontal="left"/>
      <protection hidden="1"/>
    </xf>
    <xf numFmtId="167" fontId="13" fillId="6" borderId="81" xfId="0" applyNumberFormat="1" applyFont="1" applyFill="1" applyBorder="1" applyAlignment="1" applyProtection="1">
      <alignment horizontal="left"/>
      <protection locked="0" hidden="1"/>
    </xf>
    <xf numFmtId="167" fontId="23" fillId="3" borderId="28" xfId="0" applyNumberFormat="1" applyFont="1" applyFill="1" applyBorder="1" applyAlignment="1" applyProtection="1">
      <alignment horizontal="center"/>
      <protection locked="0"/>
    </xf>
    <xf numFmtId="165" fontId="22" fillId="3" borderId="0" xfId="0" applyNumberFormat="1" applyFont="1" applyFill="1" applyAlignment="1" applyProtection="1">
      <alignment horizontal="right"/>
      <protection hidden="1"/>
    </xf>
    <xf numFmtId="2" fontId="9" fillId="0" borderId="0" xfId="0" applyNumberFormat="1" applyFont="1" applyAlignment="1" applyProtection="1">
      <alignment horizontal="center" vertical="center"/>
      <protection locked="0"/>
    </xf>
    <xf numFmtId="2" fontId="10" fillId="0" borderId="0" xfId="0" quotePrefix="1" applyNumberFormat="1" applyFont="1" applyAlignment="1" applyProtection="1">
      <alignment horizontal="center"/>
      <protection locked="0"/>
    </xf>
    <xf numFmtId="0" fontId="19" fillId="0" borderId="19" xfId="0" applyFont="1" applyBorder="1" applyProtection="1">
      <protection locked="0"/>
    </xf>
    <xf numFmtId="0" fontId="20" fillId="0" borderId="0" xfId="0" applyFont="1" applyAlignment="1" applyProtection="1">
      <alignment vertical="top" wrapText="1"/>
      <protection locked="0"/>
    </xf>
    <xf numFmtId="9" fontId="10" fillId="0" borderId="0" xfId="0" applyNumberFormat="1" applyFont="1" applyAlignment="1" applyProtection="1">
      <alignment vertical="top" wrapText="1"/>
      <protection locked="0"/>
    </xf>
    <xf numFmtId="10" fontId="10" fillId="0" borderId="0" xfId="0" applyNumberFormat="1" applyFont="1" applyAlignment="1" applyProtection="1">
      <alignment vertical="top" wrapText="1"/>
      <protection locked="0"/>
    </xf>
    <xf numFmtId="0" fontId="9" fillId="0" borderId="0" xfId="0" applyFont="1" applyAlignment="1" applyProtection="1">
      <alignment horizontal="left" vertical="center"/>
      <protection locked="0"/>
    </xf>
    <xf numFmtId="0" fontId="18" fillId="0" borderId="0" xfId="0" applyFont="1" applyAlignment="1" applyProtection="1">
      <alignment horizontal="left"/>
      <protection locked="0"/>
    </xf>
    <xf numFmtId="0" fontId="39" fillId="0" borderId="15" xfId="0" applyFont="1" applyBorder="1"/>
    <xf numFmtId="0" fontId="39" fillId="0" borderId="15" xfId="0" applyFont="1" applyBorder="1" applyAlignment="1">
      <alignment vertical="center"/>
    </xf>
    <xf numFmtId="0" fontId="19" fillId="2" borderId="20" xfId="0" applyFont="1" applyFill="1" applyBorder="1" applyAlignment="1" applyProtection="1">
      <alignment vertical="top"/>
      <protection locked="0"/>
    </xf>
    <xf numFmtId="0" fontId="34" fillId="3" borderId="0" xfId="1" applyFont="1" applyFill="1" applyBorder="1" applyAlignment="1" applyProtection="1">
      <protection locked="0" hidden="1"/>
    </xf>
    <xf numFmtId="0" fontId="12" fillId="4" borderId="0" xfId="0" applyFont="1" applyFill="1" applyBorder="1" applyAlignment="1" applyProtection="1">
      <alignment horizontal="center"/>
      <protection hidden="1"/>
    </xf>
    <xf numFmtId="0" fontId="12" fillId="4" borderId="72" xfId="0" applyFont="1" applyFill="1" applyBorder="1" applyAlignment="1" applyProtection="1">
      <alignment horizontal="center"/>
      <protection hidden="1"/>
    </xf>
    <xf numFmtId="0" fontId="13" fillId="5" borderId="26" xfId="0" applyFont="1" applyFill="1" applyBorder="1" applyAlignment="1" applyProtection="1">
      <alignment horizontal="left"/>
      <protection locked="0" hidden="1"/>
    </xf>
    <xf numFmtId="0" fontId="13" fillId="5" borderId="0" xfId="0" applyFont="1" applyFill="1" applyBorder="1" applyAlignment="1" applyProtection="1">
      <alignment horizontal="left"/>
      <protection locked="0" hidden="1"/>
    </xf>
    <xf numFmtId="0" fontId="13" fillId="5" borderId="82" xfId="0" applyFont="1" applyFill="1" applyBorder="1" applyAlignment="1" applyProtection="1">
      <alignment horizontal="left"/>
      <protection locked="0" hidden="1"/>
    </xf>
    <xf numFmtId="0" fontId="22" fillId="3" borderId="1" xfId="0" applyFont="1" applyFill="1" applyBorder="1" applyAlignment="1" applyProtection="1">
      <alignment horizontal="right"/>
      <protection locked="0" hidden="1"/>
    </xf>
    <xf numFmtId="0" fontId="22" fillId="3" borderId="48" xfId="0" applyFont="1" applyFill="1" applyBorder="1" applyAlignment="1" applyProtection="1">
      <alignment horizontal="right"/>
      <protection locked="0" hidden="1"/>
    </xf>
    <xf numFmtId="0" fontId="22" fillId="3" borderId="22" xfId="0" applyFont="1" applyFill="1" applyBorder="1" applyAlignment="1" applyProtection="1">
      <alignment horizontal="right"/>
      <protection locked="0" hidden="1"/>
    </xf>
    <xf numFmtId="0" fontId="13" fillId="5" borderId="88" xfId="0" applyFont="1" applyFill="1" applyBorder="1" applyAlignment="1" applyProtection="1">
      <protection locked="0"/>
    </xf>
    <xf numFmtId="0" fontId="13" fillId="5" borderId="25" xfId="0" applyFont="1" applyFill="1" applyBorder="1" applyAlignment="1" applyProtection="1">
      <protection locked="0"/>
    </xf>
    <xf numFmtId="0" fontId="13" fillId="5" borderId="94" xfId="0" applyFont="1" applyFill="1" applyBorder="1" applyAlignment="1" applyProtection="1">
      <protection locked="0"/>
    </xf>
    <xf numFmtId="0" fontId="13" fillId="5" borderId="80" xfId="0" applyFont="1" applyFill="1" applyBorder="1" applyAlignment="1" applyProtection="1">
      <protection locked="0"/>
    </xf>
    <xf numFmtId="0" fontId="13" fillId="5" borderId="65" xfId="0" applyFont="1" applyFill="1" applyBorder="1" applyAlignment="1" applyProtection="1">
      <protection locked="0"/>
    </xf>
    <xf numFmtId="0" fontId="13" fillId="5" borderId="85" xfId="0" applyFont="1" applyFill="1" applyBorder="1" applyAlignment="1" applyProtection="1">
      <protection locked="0"/>
    </xf>
    <xf numFmtId="0" fontId="22" fillId="3" borderId="71" xfId="0" applyFont="1" applyFill="1" applyBorder="1" applyAlignment="1" applyProtection="1">
      <alignment horizontal="right"/>
      <protection locked="0"/>
    </xf>
    <xf numFmtId="0" fontId="22" fillId="3" borderId="0" xfId="0" applyFont="1" applyFill="1" applyAlignment="1" applyProtection="1">
      <alignment horizontal="right"/>
      <protection locked="0"/>
    </xf>
    <xf numFmtId="10" fontId="5" fillId="5" borderId="27" xfId="0" applyNumberFormat="1" applyFont="1" applyFill="1" applyBorder="1" applyAlignment="1" applyProtection="1">
      <alignment horizontal="center"/>
      <protection locked="0"/>
    </xf>
    <xf numFmtId="10" fontId="5" fillId="5" borderId="26" xfId="0" applyNumberFormat="1" applyFont="1" applyFill="1" applyBorder="1" applyAlignment="1" applyProtection="1">
      <alignment horizontal="center"/>
      <protection locked="0"/>
    </xf>
    <xf numFmtId="0" fontId="13" fillId="5" borderId="92" xfId="0" applyFont="1" applyFill="1" applyBorder="1" applyAlignment="1" applyProtection="1">
      <protection locked="0"/>
    </xf>
    <xf numFmtId="0" fontId="13" fillId="5" borderId="28" xfId="0" applyFont="1" applyFill="1" applyBorder="1" applyAlignment="1" applyProtection="1">
      <protection locked="0"/>
    </xf>
    <xf numFmtId="0" fontId="13" fillId="5" borderId="100" xfId="0" applyFont="1" applyFill="1" applyBorder="1" applyAlignment="1" applyProtection="1">
      <protection locked="0"/>
    </xf>
    <xf numFmtId="0" fontId="13" fillId="5" borderId="27" xfId="0" applyFont="1" applyFill="1" applyBorder="1" applyAlignment="1" applyProtection="1">
      <protection locked="0"/>
    </xf>
    <xf numFmtId="0" fontId="13" fillId="5" borderId="26" xfId="0" applyFont="1" applyFill="1" applyBorder="1" applyAlignment="1" applyProtection="1">
      <protection locked="0"/>
    </xf>
    <xf numFmtId="0" fontId="13" fillId="5" borderId="93" xfId="0" applyFont="1" applyFill="1" applyBorder="1" applyAlignment="1" applyProtection="1">
      <protection locked="0"/>
    </xf>
    <xf numFmtId="10" fontId="5" fillId="5" borderId="92" xfId="0" applyNumberFormat="1" applyFont="1" applyFill="1" applyBorder="1" applyAlignment="1" applyProtection="1">
      <alignment horizontal="center"/>
      <protection locked="0"/>
    </xf>
    <xf numFmtId="10" fontId="5" fillId="5" borderId="28" xfId="0" applyNumberFormat="1" applyFont="1" applyFill="1" applyBorder="1" applyAlignment="1" applyProtection="1">
      <alignment horizontal="center"/>
      <protection locked="0"/>
    </xf>
    <xf numFmtId="0" fontId="12" fillId="5" borderId="0" xfId="0" applyFont="1" applyFill="1" applyAlignment="1" applyProtection="1">
      <protection locked="0"/>
    </xf>
    <xf numFmtId="10" fontId="5" fillId="5" borderId="93" xfId="0" applyNumberFormat="1" applyFont="1" applyFill="1" applyBorder="1" applyAlignment="1" applyProtection="1">
      <alignment horizontal="center"/>
      <protection locked="0"/>
    </xf>
    <xf numFmtId="0" fontId="26" fillId="3" borderId="0" xfId="0" applyFont="1" applyFill="1" applyAlignment="1" applyProtection="1">
      <alignment horizontal="center"/>
      <protection hidden="1"/>
    </xf>
    <xf numFmtId="0" fontId="12" fillId="5" borderId="69" xfId="0" applyFont="1" applyFill="1" applyBorder="1" applyAlignment="1" applyProtection="1">
      <protection locked="0" hidden="1"/>
    </xf>
    <xf numFmtId="0" fontId="12" fillId="5" borderId="22" xfId="0" applyFont="1" applyFill="1" applyBorder="1" applyAlignment="1" applyProtection="1">
      <protection locked="0" hidden="1"/>
    </xf>
    <xf numFmtId="0" fontId="37" fillId="3" borderId="0" xfId="0" applyFont="1" applyFill="1" applyBorder="1" applyAlignment="1" applyProtection="1">
      <alignment horizontal="right"/>
      <protection locked="0"/>
    </xf>
    <xf numFmtId="0" fontId="37" fillId="3" borderId="1" xfId="0" applyFont="1" applyFill="1" applyBorder="1" applyAlignment="1" applyProtection="1">
      <alignment horizontal="right"/>
      <protection locked="0"/>
    </xf>
    <xf numFmtId="0" fontId="22" fillId="3" borderId="11" xfId="0" applyFont="1" applyFill="1" applyBorder="1" applyAlignment="1" applyProtection="1">
      <protection hidden="1"/>
    </xf>
    <xf numFmtId="0" fontId="22" fillId="3" borderId="4" xfId="0" applyFont="1" applyFill="1" applyBorder="1" applyAlignment="1" applyProtection="1">
      <protection hidden="1"/>
    </xf>
    <xf numFmtId="0" fontId="22" fillId="3" borderId="10" xfId="0" applyFont="1" applyFill="1" applyBorder="1" applyAlignment="1" applyProtection="1">
      <protection hidden="1"/>
    </xf>
    <xf numFmtId="0" fontId="13" fillId="5" borderId="31" xfId="0" applyFont="1" applyFill="1" applyBorder="1" applyAlignment="1" applyProtection="1">
      <protection locked="0"/>
    </xf>
    <xf numFmtId="0" fontId="13" fillId="5" borderId="32" xfId="0" applyFont="1" applyFill="1" applyBorder="1" applyAlignment="1" applyProtection="1">
      <protection locked="0"/>
    </xf>
    <xf numFmtId="0" fontId="22" fillId="3" borderId="11" xfId="0" applyFont="1" applyFill="1" applyBorder="1" applyAlignment="1" applyProtection="1">
      <alignment horizontal="center" vertical="center"/>
      <protection hidden="1"/>
    </xf>
    <xf numFmtId="0" fontId="22" fillId="3" borderId="4" xfId="0" applyFont="1" applyFill="1" applyBorder="1" applyAlignment="1" applyProtection="1">
      <alignment horizontal="center" vertical="center"/>
      <protection hidden="1"/>
    </xf>
    <xf numFmtId="171" fontId="22" fillId="3" borderId="0" xfId="0" applyNumberFormat="1" applyFont="1" applyFill="1" applyAlignment="1" applyProtection="1">
      <alignment horizontal="left"/>
      <protection hidden="1"/>
    </xf>
    <xf numFmtId="0" fontId="24" fillId="3" borderId="0" xfId="0" applyFont="1" applyFill="1" applyBorder="1" applyAlignment="1" applyProtection="1">
      <alignment horizontal="left"/>
      <protection locked="0"/>
    </xf>
    <xf numFmtId="0" fontId="24" fillId="3" borderId="1" xfId="0" applyFont="1" applyFill="1" applyBorder="1" applyAlignment="1" applyProtection="1">
      <alignment horizontal="left"/>
      <protection locked="0"/>
    </xf>
    <xf numFmtId="10" fontId="13" fillId="0" borderId="35" xfId="5" applyNumberFormat="1" applyFont="1" applyBorder="1" applyAlignment="1" applyProtection="1">
      <alignment horizontal="center"/>
      <protection hidden="1"/>
    </xf>
    <xf numFmtId="10" fontId="13" fillId="0" borderId="43" xfId="5" applyNumberFormat="1" applyFont="1" applyBorder="1" applyAlignment="1" applyProtection="1">
      <alignment horizontal="center"/>
      <protection hidden="1"/>
    </xf>
    <xf numFmtId="10" fontId="13" fillId="0" borderId="36" xfId="5" applyNumberFormat="1" applyFont="1" applyBorder="1" applyAlignment="1" applyProtection="1">
      <alignment horizontal="center"/>
      <protection hidden="1"/>
    </xf>
    <xf numFmtId="0" fontId="13" fillId="0" borderId="35" xfId="5" applyFont="1" applyFill="1" applyBorder="1" applyAlignment="1" applyProtection="1">
      <protection hidden="1"/>
    </xf>
    <xf numFmtId="0" fontId="13" fillId="0" borderId="43" xfId="5" applyFont="1" applyFill="1" applyBorder="1" applyAlignment="1" applyProtection="1">
      <protection hidden="1"/>
    </xf>
    <xf numFmtId="0" fontId="13" fillId="0" borderId="36" xfId="5" applyFont="1" applyFill="1" applyBorder="1" applyAlignment="1" applyProtection="1">
      <protection hidden="1"/>
    </xf>
    <xf numFmtId="0" fontId="12" fillId="0" borderId="14" xfId="5" applyFont="1" applyBorder="1" applyAlignment="1" applyProtection="1">
      <alignment horizontal="right"/>
      <protection locked="0" hidden="1"/>
    </xf>
    <xf numFmtId="0" fontId="12" fillId="0" borderId="15" xfId="5" applyFont="1" applyBorder="1" applyAlignment="1" applyProtection="1">
      <alignment horizontal="right"/>
      <protection locked="0" hidden="1"/>
    </xf>
    <xf numFmtId="0" fontId="13" fillId="0" borderId="0" xfId="0" applyFont="1" applyAlignment="1" applyProtection="1">
      <alignment horizontal="right"/>
      <protection locked="0" hidden="1"/>
    </xf>
    <xf numFmtId="0" fontId="13" fillId="0" borderId="14" xfId="5" applyFont="1" applyBorder="1" applyAlignment="1" applyProtection="1">
      <alignment horizontal="right"/>
      <protection locked="0" hidden="1"/>
    </xf>
    <xf numFmtId="0" fontId="13" fillId="0" borderId="0" xfId="5" applyFont="1" applyAlignment="1" applyProtection="1">
      <alignment horizontal="right"/>
      <protection locked="0" hidden="1"/>
    </xf>
    <xf numFmtId="171" fontId="12" fillId="0" borderId="0" xfId="5" applyNumberFormat="1" applyFont="1" applyBorder="1" applyAlignment="1" applyProtection="1">
      <alignment horizontal="left"/>
      <protection locked="0"/>
    </xf>
    <xf numFmtId="0" fontId="12" fillId="0" borderId="0" xfId="5" applyFont="1" applyBorder="1" applyAlignment="1" applyProtection="1">
      <alignment horizontal="center"/>
      <protection hidden="1"/>
    </xf>
    <xf numFmtId="0" fontId="13" fillId="0" borderId="37" xfId="5" applyFont="1" applyFill="1" applyBorder="1" applyAlignment="1" applyProtection="1">
      <protection hidden="1"/>
    </xf>
    <xf numFmtId="0" fontId="13" fillId="0" borderId="38" xfId="5" applyFont="1" applyFill="1" applyBorder="1" applyAlignment="1" applyProtection="1">
      <protection hidden="1"/>
    </xf>
    <xf numFmtId="0" fontId="13" fillId="0" borderId="39" xfId="5" applyFont="1" applyFill="1" applyBorder="1" applyAlignment="1" applyProtection="1">
      <protection hidden="1"/>
    </xf>
    <xf numFmtId="0" fontId="12" fillId="0" borderId="18" xfId="0" applyFont="1" applyFill="1" applyBorder="1" applyAlignment="1" applyProtection="1">
      <alignment horizontal="center"/>
      <protection hidden="1"/>
    </xf>
    <xf numFmtId="0" fontId="12" fillId="0" borderId="20" xfId="0" applyFont="1" applyFill="1" applyBorder="1" applyAlignment="1" applyProtection="1">
      <alignment horizontal="center"/>
      <protection hidden="1"/>
    </xf>
    <xf numFmtId="0" fontId="12" fillId="0" borderId="0" xfId="5" applyFont="1" applyFill="1" applyBorder="1" applyAlignment="1" applyProtection="1">
      <protection hidden="1"/>
    </xf>
    <xf numFmtId="0" fontId="12" fillId="0" borderId="11" xfId="5" applyFont="1" applyBorder="1" applyAlignment="1" applyProtection="1">
      <protection hidden="1"/>
    </xf>
    <xf numFmtId="0" fontId="12" fillId="0" borderId="4" xfId="5" applyFont="1" applyBorder="1" applyAlignment="1" applyProtection="1">
      <protection hidden="1"/>
    </xf>
    <xf numFmtId="0" fontId="12" fillId="0" borderId="10" xfId="5" applyFont="1" applyBorder="1" applyAlignment="1" applyProtection="1">
      <protection hidden="1"/>
    </xf>
    <xf numFmtId="0" fontId="12" fillId="0" borderId="0" xfId="0" applyFont="1" applyFill="1" applyBorder="1" applyAlignment="1" applyProtection="1">
      <protection hidden="1"/>
    </xf>
    <xf numFmtId="0" fontId="12" fillId="0" borderId="11" xfId="5" applyFont="1" applyBorder="1" applyAlignment="1" applyProtection="1">
      <alignment horizontal="center" vertical="center"/>
      <protection hidden="1"/>
    </xf>
    <xf numFmtId="0" fontId="12" fillId="0" borderId="4" xfId="5" applyFont="1" applyBorder="1" applyAlignment="1" applyProtection="1">
      <alignment horizontal="center" vertical="center"/>
      <protection hidden="1"/>
    </xf>
    <xf numFmtId="0" fontId="12" fillId="0" borderId="10" xfId="5" applyFont="1" applyBorder="1" applyAlignment="1" applyProtection="1">
      <alignment horizontal="center" vertical="center"/>
      <protection hidden="1"/>
    </xf>
    <xf numFmtId="10" fontId="13" fillId="0" borderId="37" xfId="5" applyNumberFormat="1" applyFont="1" applyBorder="1" applyAlignment="1" applyProtection="1">
      <alignment horizontal="center"/>
      <protection hidden="1"/>
    </xf>
    <xf numFmtId="10" fontId="13" fillId="0" borderId="38" xfId="5" applyNumberFormat="1" applyFont="1" applyBorder="1" applyAlignment="1" applyProtection="1">
      <alignment horizontal="center"/>
      <protection hidden="1"/>
    </xf>
    <xf numFmtId="10" fontId="13" fillId="0" borderId="39" xfId="5" applyNumberFormat="1" applyFont="1" applyBorder="1" applyAlignment="1" applyProtection="1">
      <alignment horizontal="center"/>
      <protection hidden="1"/>
    </xf>
    <xf numFmtId="0" fontId="12" fillId="0" borderId="21" xfId="5" applyFont="1" applyBorder="1" applyAlignment="1" applyProtection="1">
      <alignment horizontal="right"/>
      <protection locked="0" hidden="1"/>
    </xf>
    <xf numFmtId="0" fontId="13" fillId="9" borderId="0" xfId="5" applyFont="1" applyFill="1" applyBorder="1" applyAlignment="1" applyProtection="1">
      <protection locked="0" hidden="1"/>
    </xf>
    <xf numFmtId="10" fontId="13" fillId="0" borderId="101" xfId="5" applyNumberFormat="1" applyFont="1" applyBorder="1" applyAlignment="1" applyProtection="1">
      <alignment horizontal="center"/>
      <protection hidden="1"/>
    </xf>
    <xf numFmtId="10" fontId="13" fillId="0" borderId="40" xfId="5" applyNumberFormat="1" applyFont="1" applyBorder="1" applyAlignment="1" applyProtection="1">
      <alignment horizontal="center"/>
      <protection hidden="1"/>
    </xf>
    <xf numFmtId="10" fontId="13" fillId="0" borderId="102" xfId="5" applyNumberFormat="1" applyFont="1" applyBorder="1" applyAlignment="1" applyProtection="1">
      <alignment horizontal="center"/>
      <protection hidden="1"/>
    </xf>
    <xf numFmtId="0" fontId="38" fillId="0" borderId="0" xfId="5" applyFont="1" applyBorder="1" applyAlignment="1" applyProtection="1">
      <alignment horizontal="right"/>
      <protection hidden="1"/>
    </xf>
    <xf numFmtId="0" fontId="38" fillId="0" borderId="1" xfId="5" applyFont="1" applyBorder="1" applyAlignment="1" applyProtection="1">
      <alignment horizontal="right"/>
      <protection hidden="1"/>
    </xf>
    <xf numFmtId="0" fontId="16" fillId="0" borderId="0" xfId="5" applyFont="1" applyAlignment="1" applyProtection="1">
      <protection hidden="1"/>
    </xf>
    <xf numFmtId="0" fontId="16" fillId="0" borderId="1" xfId="5" applyFont="1" applyBorder="1" applyAlignment="1" applyProtection="1">
      <protection hidden="1"/>
    </xf>
    <xf numFmtId="0" fontId="13" fillId="0" borderId="101" xfId="5" applyFont="1" applyFill="1" applyBorder="1" applyAlignment="1" applyProtection="1">
      <protection hidden="1"/>
    </xf>
    <xf numFmtId="0" fontId="13" fillId="0" borderId="40" xfId="5" applyFont="1" applyFill="1" applyBorder="1" applyAlignment="1" applyProtection="1">
      <protection hidden="1"/>
    </xf>
    <xf numFmtId="0" fontId="13" fillId="0" borderId="102" xfId="5" applyFont="1" applyFill="1" applyBorder="1" applyAlignment="1" applyProtection="1">
      <protection hidden="1"/>
    </xf>
    <xf numFmtId="0" fontId="22" fillId="3" borderId="1" xfId="0" applyFont="1" applyFill="1" applyBorder="1" applyAlignment="1" applyProtection="1">
      <alignment horizontal="right"/>
      <protection hidden="1"/>
    </xf>
    <xf numFmtId="10" fontId="29" fillId="3" borderId="27" xfId="0" applyNumberFormat="1" applyFont="1" applyFill="1" applyBorder="1" applyAlignment="1" applyProtection="1">
      <alignment horizontal="center"/>
      <protection hidden="1"/>
    </xf>
    <xf numFmtId="10" fontId="29" fillId="3" borderId="26" xfId="0" applyNumberFormat="1" applyFont="1" applyFill="1" applyBorder="1" applyAlignment="1" applyProtection="1">
      <alignment horizontal="center"/>
      <protection hidden="1"/>
    </xf>
    <xf numFmtId="10" fontId="29" fillId="3" borderId="93" xfId="0" applyNumberFormat="1" applyFont="1" applyFill="1" applyBorder="1" applyAlignment="1" applyProtection="1">
      <alignment horizontal="center"/>
      <protection hidden="1"/>
    </xf>
    <xf numFmtId="0" fontId="22" fillId="3" borderId="22" xfId="0" applyFont="1" applyFill="1" applyBorder="1" applyAlignment="1" applyProtection="1">
      <alignment horizontal="right"/>
      <protection hidden="1"/>
    </xf>
    <xf numFmtId="10" fontId="29" fillId="3" borderId="67" xfId="0" applyNumberFormat="1" applyFont="1" applyFill="1" applyBorder="1" applyAlignment="1" applyProtection="1">
      <alignment horizontal="center"/>
      <protection hidden="1"/>
    </xf>
    <xf numFmtId="10" fontId="29" fillId="3" borderId="68" xfId="0" applyNumberFormat="1" applyFont="1" applyFill="1" applyBorder="1" applyAlignment="1" applyProtection="1">
      <alignment horizontal="center"/>
      <protection hidden="1"/>
    </xf>
    <xf numFmtId="0" fontId="23" fillId="3" borderId="0" xfId="0" applyFont="1" applyFill="1" applyBorder="1" applyAlignment="1" applyProtection="1">
      <alignment horizontal="left"/>
      <protection hidden="1"/>
    </xf>
    <xf numFmtId="0" fontId="23" fillId="3" borderId="72" xfId="0" applyFont="1" applyFill="1" applyBorder="1" applyAlignment="1" applyProtection="1">
      <alignment horizontal="left"/>
      <protection hidden="1"/>
    </xf>
    <xf numFmtId="0" fontId="23" fillId="3" borderId="31" xfId="0" applyFont="1" applyFill="1" applyBorder="1" applyAlignment="1" applyProtection="1">
      <protection hidden="1"/>
    </xf>
    <xf numFmtId="0" fontId="23" fillId="3" borderId="25" xfId="0" applyFont="1" applyFill="1" applyBorder="1" applyAlignment="1" applyProtection="1">
      <protection hidden="1"/>
    </xf>
    <xf numFmtId="0" fontId="23" fillId="3" borderId="32" xfId="0" applyFont="1" applyFill="1" applyBorder="1" applyAlignment="1" applyProtection="1">
      <protection hidden="1"/>
    </xf>
    <xf numFmtId="0" fontId="22" fillId="3" borderId="0" xfId="0" applyFont="1" applyFill="1" applyBorder="1" applyAlignment="1" applyProtection="1">
      <alignment horizontal="center"/>
      <protection hidden="1"/>
    </xf>
    <xf numFmtId="0" fontId="22" fillId="3" borderId="72" xfId="0" applyFont="1" applyFill="1" applyBorder="1" applyAlignment="1" applyProtection="1">
      <alignment horizontal="center"/>
      <protection hidden="1"/>
    </xf>
    <xf numFmtId="0" fontId="22" fillId="3" borderId="48" xfId="0" applyFont="1" applyFill="1" applyBorder="1" applyAlignment="1" applyProtection="1">
      <alignment horizontal="right"/>
      <protection hidden="1"/>
    </xf>
    <xf numFmtId="0" fontId="23" fillId="3" borderId="88" xfId="0" applyFont="1" applyFill="1" applyBorder="1" applyAlignment="1" applyProtection="1">
      <alignment horizontal="left"/>
      <protection hidden="1"/>
    </xf>
    <xf numFmtId="0" fontId="23" fillId="3" borderId="25" xfId="0" applyFont="1" applyFill="1" applyBorder="1" applyAlignment="1" applyProtection="1">
      <alignment horizontal="left"/>
      <protection hidden="1"/>
    </xf>
    <xf numFmtId="0" fontId="23" fillId="3" borderId="94" xfId="0" applyFont="1" applyFill="1" applyBorder="1" applyAlignment="1" applyProtection="1">
      <alignment horizontal="left"/>
      <protection hidden="1"/>
    </xf>
    <xf numFmtId="0" fontId="22" fillId="3" borderId="0" xfId="0" applyFont="1" applyFill="1" applyAlignment="1" applyProtection="1">
      <protection hidden="1"/>
    </xf>
    <xf numFmtId="0" fontId="24" fillId="3" borderId="0" xfId="0" applyFont="1" applyFill="1" applyBorder="1" applyAlignment="1" applyProtection="1">
      <alignment horizontal="left"/>
      <protection hidden="1"/>
    </xf>
    <xf numFmtId="0" fontId="24" fillId="3" borderId="1" xfId="0" applyFont="1" applyFill="1" applyBorder="1" applyAlignment="1" applyProtection="1">
      <alignment horizontal="left"/>
      <protection hidden="1"/>
    </xf>
    <xf numFmtId="0" fontId="37" fillId="3" borderId="0" xfId="0" applyFont="1" applyFill="1" applyBorder="1" applyAlignment="1" applyProtection="1">
      <alignment horizontal="right"/>
      <protection hidden="1"/>
    </xf>
    <xf numFmtId="0" fontId="37" fillId="3" borderId="1" xfId="0" applyFont="1" applyFill="1" applyBorder="1" applyAlignment="1" applyProtection="1">
      <alignment horizontal="right"/>
      <protection hidden="1"/>
    </xf>
    <xf numFmtId="0" fontId="23" fillId="3" borderId="80" xfId="0" applyFont="1" applyFill="1" applyBorder="1" applyAlignment="1" applyProtection="1">
      <alignment horizontal="left"/>
      <protection hidden="1"/>
    </xf>
    <xf numFmtId="0" fontId="23" fillId="3" borderId="65" xfId="0" applyFont="1" applyFill="1" applyBorder="1" applyAlignment="1" applyProtection="1">
      <alignment horizontal="left"/>
      <protection hidden="1"/>
    </xf>
    <xf numFmtId="0" fontId="23" fillId="3" borderId="85" xfId="0" applyFont="1" applyFill="1" applyBorder="1" applyAlignment="1" applyProtection="1">
      <alignment horizontal="left"/>
      <protection hidden="1"/>
    </xf>
    <xf numFmtId="0" fontId="23" fillId="3" borderId="27" xfId="0" applyFont="1" applyFill="1" applyBorder="1" applyAlignment="1" applyProtection="1">
      <protection hidden="1"/>
    </xf>
    <xf numFmtId="0" fontId="23" fillId="3" borderId="26" xfId="0" applyFont="1" applyFill="1" applyBorder="1" applyAlignment="1" applyProtection="1">
      <protection hidden="1"/>
    </xf>
    <xf numFmtId="0" fontId="23" fillId="3" borderId="93" xfId="0" applyFont="1" applyFill="1" applyBorder="1" applyAlignment="1" applyProtection="1">
      <protection hidden="1"/>
    </xf>
    <xf numFmtId="0" fontId="22" fillId="3" borderId="69" xfId="0" applyFont="1" applyFill="1" applyBorder="1" applyAlignment="1" applyProtection="1">
      <alignment horizontal="left"/>
      <protection hidden="1"/>
    </xf>
    <xf numFmtId="0" fontId="22" fillId="3" borderId="22" xfId="0" applyFont="1" applyFill="1" applyBorder="1" applyAlignment="1" applyProtection="1">
      <alignment horizontal="left"/>
      <protection hidden="1"/>
    </xf>
    <xf numFmtId="0" fontId="22" fillId="3" borderId="69" xfId="0" applyFont="1" applyFill="1" applyBorder="1" applyAlignment="1" applyProtection="1">
      <protection hidden="1"/>
    </xf>
    <xf numFmtId="0" fontId="22" fillId="3" borderId="22" xfId="0" applyFont="1" applyFill="1" applyBorder="1" applyAlignment="1" applyProtection="1">
      <protection hidden="1"/>
    </xf>
    <xf numFmtId="0" fontId="23" fillId="3" borderId="88" xfId="0" applyFont="1" applyFill="1" applyBorder="1" applyAlignment="1" applyProtection="1">
      <protection hidden="1"/>
    </xf>
    <xf numFmtId="0" fontId="23" fillId="3" borderId="94" xfId="0" applyFont="1" applyFill="1" applyBorder="1" applyAlignment="1" applyProtection="1">
      <protection hidden="1"/>
    </xf>
    <xf numFmtId="0" fontId="23" fillId="3" borderId="120" xfId="0" applyFont="1" applyFill="1" applyBorder="1" applyAlignment="1" applyProtection="1">
      <protection hidden="1"/>
    </xf>
    <xf numFmtId="0" fontId="23" fillId="3" borderId="121" xfId="0" applyFont="1" applyFill="1" applyBorder="1" applyAlignment="1" applyProtection="1">
      <protection hidden="1"/>
    </xf>
    <xf numFmtId="0" fontId="23" fillId="3" borderId="122" xfId="0" applyFont="1" applyFill="1" applyBorder="1" applyAlignment="1" applyProtection="1">
      <protection hidden="1"/>
    </xf>
    <xf numFmtId="0" fontId="23" fillId="3" borderId="14" xfId="0" applyFont="1" applyFill="1" applyBorder="1" applyAlignment="1" applyProtection="1">
      <protection hidden="1"/>
    </xf>
    <xf numFmtId="0" fontId="23" fillId="3" borderId="0" xfId="0" applyFont="1" applyFill="1" applyBorder="1" applyAlignment="1" applyProtection="1">
      <protection hidden="1"/>
    </xf>
    <xf numFmtId="0" fontId="23" fillId="3" borderId="15" xfId="0" applyFont="1" applyFill="1" applyBorder="1" applyAlignment="1" applyProtection="1">
      <protection hidden="1"/>
    </xf>
    <xf numFmtId="0" fontId="11" fillId="0" borderId="0" xfId="0" applyFont="1" applyAlignment="1" applyProtection="1">
      <alignment horizontal="center"/>
      <protection locked="0"/>
    </xf>
  </cellXfs>
  <cellStyles count="8">
    <cellStyle name="Hyperlink" xfId="1" builtinId="8"/>
    <cellStyle name="Normal" xfId="0" builtinId="0"/>
    <cellStyle name="Normal 2" xfId="3" xr:uid="{00000000-0005-0000-0000-000002000000}"/>
    <cellStyle name="Normal 3" xfId="5" xr:uid="{00000000-0005-0000-0000-000003000000}"/>
    <cellStyle name="Normal 4" xfId="4" xr:uid="{00000000-0005-0000-0000-000004000000}"/>
    <cellStyle name="Normal 4 2" xfId="7" xr:uid="{00000000-0005-0000-0000-000005000000}"/>
    <cellStyle name="Normal 5" xfId="6" xr:uid="{00000000-0005-0000-0000-000006000000}"/>
    <cellStyle name="Percent" xfId="2" builtinId="5"/>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colors>
    <mruColors>
      <color rgb="FFFFFF99"/>
      <color rgb="FFFEF2E8"/>
      <color rgb="FFFF9900"/>
      <color rgb="FF769559"/>
      <color rgb="FF009999"/>
      <color rgb="FF9CB684"/>
      <color rgb="FF3399FF"/>
      <color rgb="FFFF412D"/>
      <color rgb="FFFF6600"/>
      <color rgb="FF2A0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22</xdr:col>
      <xdr:colOff>22412</xdr:colOff>
      <xdr:row>2</xdr:row>
      <xdr:rowOff>44823</xdr:rowOff>
    </xdr:from>
    <xdr:to>
      <xdr:col>23</xdr:col>
      <xdr:colOff>506837</xdr:colOff>
      <xdr:row>8</xdr:row>
      <xdr:rowOff>33618</xdr:rowOff>
    </xdr:to>
    <xdr:pic>
      <xdr:nvPicPr>
        <xdr:cNvPr id="2" name="Picture 1" descr="C:\Users\jspidel\AppData\Local\Microsoft\Windows\Temporary Internet Files\Content.IE5\DL80JB2H\MC900250395[1].wmf">
          <a:extLst>
            <a:ext uri="{FF2B5EF4-FFF2-40B4-BE49-F238E27FC236}">
              <a16:creationId xmlns:a16="http://schemas.microsoft.com/office/drawing/2014/main" id="{8A3CE1BB-962C-49C5-AA6D-6C210480AC3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2206" y="448235"/>
          <a:ext cx="1044719" cy="9973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22</xdr:col>
      <xdr:colOff>22415</xdr:colOff>
      <xdr:row>2</xdr:row>
      <xdr:rowOff>44824</xdr:rowOff>
    </xdr:from>
    <xdr:to>
      <xdr:col>23</xdr:col>
      <xdr:colOff>506840</xdr:colOff>
      <xdr:row>8</xdr:row>
      <xdr:rowOff>33619</xdr:rowOff>
    </xdr:to>
    <xdr:pic>
      <xdr:nvPicPr>
        <xdr:cNvPr id="3" name="Picture 2" descr="C:\Users\jspidel\AppData\Local\Microsoft\Windows\Temporary Internet Files\Content.IE5\DL80JB2H\MC900250395[1].wmf">
          <a:extLst>
            <a:ext uri="{FF2B5EF4-FFF2-40B4-BE49-F238E27FC236}">
              <a16:creationId xmlns:a16="http://schemas.microsoft.com/office/drawing/2014/main" id="{C314DCFC-1DE9-454F-8ABC-B6697502FE5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2209" y="448236"/>
          <a:ext cx="1044719" cy="997324"/>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22</xdr:col>
      <xdr:colOff>22413</xdr:colOff>
      <xdr:row>2</xdr:row>
      <xdr:rowOff>44823</xdr:rowOff>
    </xdr:from>
    <xdr:to>
      <xdr:col>23</xdr:col>
      <xdr:colOff>506838</xdr:colOff>
      <xdr:row>8</xdr:row>
      <xdr:rowOff>33618</xdr:rowOff>
    </xdr:to>
    <xdr:pic>
      <xdr:nvPicPr>
        <xdr:cNvPr id="3" name="Picture 2" descr="C:\Users\jspidel\AppData\Local\Microsoft\Windows\Temporary Internet Files\Content.IE5\DL80JB2H\MC900250395[1].wmf">
          <a:extLst>
            <a:ext uri="{FF2B5EF4-FFF2-40B4-BE49-F238E27FC236}">
              <a16:creationId xmlns:a16="http://schemas.microsoft.com/office/drawing/2014/main" id="{F303217D-D226-4447-B349-92C3AEC451E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2207" y="448235"/>
          <a:ext cx="1044719" cy="997324"/>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hantybrewery.com/my-cheapo-brewsheet/" TargetMode="External"/><Relationship Id="rId1" Type="http://schemas.openxmlformats.org/officeDocument/2006/relationships/hyperlink" Target="http://www.bjcp.org/stylecenter.ph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bjcp.org/stylecenter.php"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bjcp.org/stylecenter.php"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bjcp.org/stylecenter.php"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1" tint="0.249977111117893"/>
    <pageSetUpPr fitToPage="1"/>
  </sheetPr>
  <dimension ref="A1:X52"/>
  <sheetViews>
    <sheetView showGridLines="0" showRowColHeaders="0" showZeros="0" tabSelected="1" zoomScale="85" zoomScaleNormal="85" workbookViewId="0">
      <selection activeCell="B1" sqref="B1:I2"/>
    </sheetView>
  </sheetViews>
  <sheetFormatPr defaultColWidth="9.42578125" defaultRowHeight="15" x14ac:dyDescent="0.25"/>
  <cols>
    <col min="1" max="1" width="3.42578125" style="8" customWidth="1"/>
    <col min="2" max="2" width="12.5703125" style="8" customWidth="1"/>
    <col min="3" max="12" width="9.42578125" style="8" customWidth="1"/>
    <col min="13" max="13" width="10.140625" style="8" bestFit="1" customWidth="1"/>
    <col min="14" max="14" width="8.7109375" style="8" hidden="1" customWidth="1"/>
    <col min="15" max="15" width="5.140625" style="8" hidden="1" customWidth="1"/>
    <col min="16" max="16" width="3.42578125" style="8" customWidth="1"/>
    <col min="17" max="17" width="11.42578125" style="8" customWidth="1"/>
    <col min="18" max="18" width="8.42578125" style="8" customWidth="1"/>
    <col min="19" max="20" width="8.42578125" style="9" customWidth="1"/>
    <col min="21" max="24" width="8.42578125" style="8" customWidth="1"/>
    <col min="25" max="16384" width="9.42578125" style="8"/>
  </cols>
  <sheetData>
    <row r="1" spans="1:24" ht="15.75" customHeight="1" x14ac:dyDescent="0.45">
      <c r="B1" s="549" t="s">
        <v>1923</v>
      </c>
      <c r="C1" s="549"/>
      <c r="D1" s="549"/>
      <c r="E1" s="549"/>
      <c r="F1" s="549"/>
      <c r="G1" s="549"/>
      <c r="H1" s="549"/>
      <c r="I1" s="549"/>
      <c r="J1" s="410"/>
      <c r="K1" s="410"/>
      <c r="L1" s="410"/>
      <c r="M1" s="410"/>
      <c r="N1" s="410"/>
      <c r="O1" s="410"/>
      <c r="P1" s="410"/>
      <c r="Q1" s="539" t="s">
        <v>1617</v>
      </c>
      <c r="R1" s="539"/>
      <c r="S1" s="539"/>
      <c r="T1" s="539"/>
      <c r="U1" s="539"/>
      <c r="V1" s="539"/>
      <c r="W1" s="539"/>
      <c r="X1" s="539"/>
    </row>
    <row r="2" spans="1:24" ht="15.75" customHeight="1" thickBot="1" x14ac:dyDescent="0.5">
      <c r="B2" s="550"/>
      <c r="C2" s="550"/>
      <c r="D2" s="550"/>
      <c r="E2" s="550"/>
      <c r="F2" s="550"/>
      <c r="G2" s="550"/>
      <c r="H2" s="550"/>
      <c r="I2" s="550"/>
      <c r="J2" s="411"/>
      <c r="K2" s="411"/>
      <c r="L2" s="411"/>
      <c r="M2" s="411"/>
      <c r="N2" s="411"/>
      <c r="O2" s="411"/>
      <c r="P2" s="411"/>
      <c r="Q2" s="540"/>
      <c r="R2" s="540"/>
      <c r="S2" s="540"/>
      <c r="T2" s="540"/>
      <c r="U2" s="540"/>
      <c r="V2" s="540"/>
      <c r="W2" s="540"/>
      <c r="X2" s="540"/>
    </row>
    <row r="3" spans="1:24" ht="4.5" customHeight="1" x14ac:dyDescent="0.45">
      <c r="B3" s="180"/>
      <c r="C3" s="180"/>
      <c r="D3" s="180"/>
      <c r="E3" s="180"/>
      <c r="F3" s="184"/>
      <c r="G3" s="184"/>
      <c r="H3" s="184"/>
      <c r="I3" s="184"/>
      <c r="J3" s="184"/>
      <c r="K3" s="184"/>
      <c r="L3" s="184"/>
      <c r="N3" s="184"/>
      <c r="O3" s="184"/>
    </row>
    <row r="4" spans="1:24" ht="15" customHeight="1" x14ac:dyDescent="0.25">
      <c r="C4" s="30" t="s">
        <v>0</v>
      </c>
      <c r="D4" s="30" t="s">
        <v>1</v>
      </c>
      <c r="E4" s="30" t="s">
        <v>2</v>
      </c>
      <c r="J4" s="536" t="s">
        <v>1045</v>
      </c>
      <c r="K4" s="536"/>
      <c r="L4" s="536"/>
      <c r="M4" s="536"/>
      <c r="Q4" s="31" t="s">
        <v>3</v>
      </c>
      <c r="R4" s="534" t="s">
        <v>832</v>
      </c>
      <c r="S4" s="534"/>
      <c r="T4" s="534"/>
      <c r="U4" s="534"/>
      <c r="V4" s="534"/>
    </row>
    <row r="5" spans="1:24" x14ac:dyDescent="0.25">
      <c r="A5" s="10"/>
      <c r="B5" s="43" t="s">
        <v>6</v>
      </c>
      <c r="C5" s="55">
        <f>IF(W33=0,,1+((M27-1)*Volume/W33))</f>
        <v>1.0511414038657172</v>
      </c>
      <c r="D5" s="56">
        <f>IF(C5=0,,(-463.37)+(668.72*C5)-(205.35*(C5^2)))</f>
        <v>12.658423766498089</v>
      </c>
      <c r="E5" s="57">
        <f>IF(C5=0,,(C5-1.000019)/0.00387863426128)</f>
        <v>13.180516754587256</v>
      </c>
      <c r="F5" s="454" t="s">
        <v>7</v>
      </c>
      <c r="G5" s="186">
        <f>IF(OriginalGravity=1,0,IF(ColorFormula="Weyermann",(SUM(O11:O26)*(D6/10)+5)*IF(ColorUnits="SRM:",0.51,1),IF(ColorUnits="SRM:",1,1.97)*(IF(ColorFormula="Efficiency",SUM(O11:O26),(IF(ColorFormula="Morey",SUM(O11:O26)^0.6859*1.4922,(IF(ColorFormula="Daniels",SUM(O11:O26)*0.2+8.4,IF(ColorFormula="Mosher",SUM(O11:O26)*0.3+4.7)))))))))</f>
        <v>21.996273011240522</v>
      </c>
      <c r="H5" s="220" t="s">
        <v>8</v>
      </c>
      <c r="I5" s="188">
        <f>(OriginalGravity-C7)*1.25*1.05</f>
        <v>5.6234659090908912E-2</v>
      </c>
      <c r="J5" s="220" t="str">
        <f>IF(Units="metric","Liters:","Gallons:")</f>
        <v>Gallons:</v>
      </c>
      <c r="K5" s="426">
        <v>11</v>
      </c>
      <c r="L5" s="43" t="s">
        <v>11</v>
      </c>
      <c r="M5" s="185" t="s">
        <v>12</v>
      </c>
      <c r="Q5" s="43" t="s">
        <v>9</v>
      </c>
      <c r="R5" s="458" t="str">
        <f>IF(R4=0,,VLOOKUP($R$4,Styles!$O$3:$V$165,2))</f>
        <v>1.045-60</v>
      </c>
      <c r="S5" s="43" t="s">
        <v>7</v>
      </c>
      <c r="T5" s="458" t="str">
        <f>IF(R4=0,,VLOOKUP($R$4,Styles!$O$3:$V$165,7))</f>
        <v>10-17</v>
      </c>
      <c r="U5" s="43" t="s">
        <v>10</v>
      </c>
      <c r="V5" s="458" t="str">
        <f>IF(R4=0,,VLOOKUP($R$4,Styles!$O$3:$V$165,8))</f>
        <v>2.2-2.8</v>
      </c>
    </row>
    <row r="6" spans="1:24" x14ac:dyDescent="0.25">
      <c r="A6" s="10"/>
      <c r="B6" s="220" t="s">
        <v>9</v>
      </c>
      <c r="C6" s="286">
        <f>M27</f>
        <v>1.0571272727272727</v>
      </c>
      <c r="D6" s="56">
        <f>(-463.37)+(668.72*OriginalGravity)-(205.35*(OriginalGravity^2))</f>
        <v>14.069813990942237</v>
      </c>
      <c r="E6" s="57">
        <f>( OriginalGravity-1.000019)/ 0.00387863426128</f>
        <v>14.723809691823385</v>
      </c>
      <c r="F6" s="220" t="s">
        <v>13</v>
      </c>
      <c r="G6" s="187">
        <f>X27</f>
        <v>49.790627296773131</v>
      </c>
      <c r="H6" s="220" t="s">
        <v>14</v>
      </c>
      <c r="I6" s="189">
        <f xml:space="preserve"> (D6-(0.1808*$D$6+0.8192*$D$7))/(2.0665-0.010665*D6)/100</f>
        <v>4.5106912848307514E-2</v>
      </c>
      <c r="J6" s="43" t="s">
        <v>1032</v>
      </c>
      <c r="K6" s="427">
        <f>Volume-S31-S32</f>
        <v>10.1</v>
      </c>
      <c r="L6" s="43" t="s">
        <v>1043</v>
      </c>
      <c r="M6" s="428" t="s">
        <v>1618</v>
      </c>
      <c r="Q6" s="43" t="s">
        <v>15</v>
      </c>
      <c r="R6" s="459" t="str">
        <f>IF(R4=0,,VLOOKUP($R$4,Styles!$O$3:$V$165,3))</f>
        <v>1.010-15</v>
      </c>
      <c r="S6" s="43" t="s">
        <v>13</v>
      </c>
      <c r="T6" s="459" t="str">
        <f>IF(R4=0,,VLOOKUP($R$4,Styles!$O$3:$V$165,5))</f>
        <v>25-40</v>
      </c>
    </row>
    <row r="7" spans="1:24" x14ac:dyDescent="0.25">
      <c r="B7" s="220" t="s">
        <v>15</v>
      </c>
      <c r="C7" s="462">
        <f>(OriginalGravity-1)*(1-J37)+1</f>
        <v>1.0142818181818183</v>
      </c>
      <c r="D7" s="58">
        <f>D6*(1-J37)</f>
        <v>3.5174534977355592</v>
      </c>
      <c r="E7" s="59">
        <f>(C7-1 + 0.000856829*(E6/1.04))*1.04/ 0.00349412</f>
        <v>7.8614581192192468</v>
      </c>
      <c r="F7" s="220" t="s">
        <v>18</v>
      </c>
      <c r="G7" s="41">
        <f>IF(OR(X27=0,OriginalGravity&lt;1.001),,X27/((OriginalGravity-1)*1000))</f>
        <v>0.87157367960615006</v>
      </c>
      <c r="H7" s="220" t="s">
        <v>19</v>
      </c>
      <c r="I7" s="463">
        <f>IF(I6=0,,(6.9*I6*100+4*((0.1808*D6+0.8192*D7)-0.1))*3.55*C7)</f>
        <v>188.76690483910548</v>
      </c>
      <c r="J7" s="220" t="s">
        <v>16</v>
      </c>
      <c r="K7" s="317">
        <v>0.8</v>
      </c>
      <c r="L7" s="43" t="s">
        <v>1044</v>
      </c>
      <c r="M7" s="425" t="s">
        <v>17</v>
      </c>
      <c r="Q7" s="43" t="s">
        <v>8</v>
      </c>
      <c r="R7" s="460" t="str">
        <f>IF(R4=0,,VLOOKUP($R$4,Styles!$O$3:$V$165,4))</f>
        <v>4.5-6.2</v>
      </c>
      <c r="S7" s="43" t="s">
        <v>20</v>
      </c>
      <c r="T7" s="461" t="str">
        <f>IF(R4=0,,VLOOKUP($R$4,Styles!$O$3:$V$165,6))</f>
        <v>0.56-0.67</v>
      </c>
    </row>
    <row r="8" spans="1:24" x14ac:dyDescent="0.25">
      <c r="B8" s="548"/>
      <c r="C8" s="548"/>
      <c r="S8" s="52"/>
      <c r="T8" s="52"/>
      <c r="U8" s="52"/>
    </row>
    <row r="9" spans="1:24" ht="15" customHeight="1" thickBot="1" x14ac:dyDescent="0.35">
      <c r="B9" s="336" t="s">
        <v>22</v>
      </c>
      <c r="C9" s="13"/>
      <c r="D9" s="13"/>
      <c r="E9" s="13"/>
      <c r="F9" s="13"/>
      <c r="G9" s="13"/>
      <c r="H9" s="13"/>
      <c r="K9" s="16"/>
      <c r="L9" s="16"/>
      <c r="M9" s="16"/>
      <c r="N9" s="14"/>
      <c r="O9" s="15"/>
      <c r="Q9" s="337" t="s">
        <v>54</v>
      </c>
      <c r="R9" s="17"/>
      <c r="S9" s="17"/>
      <c r="T9" s="221"/>
      <c r="U9" s="221"/>
      <c r="V9" s="221"/>
      <c r="W9" s="9"/>
      <c r="X9" s="9"/>
    </row>
    <row r="10" spans="1:24" ht="15" customHeight="1" x14ac:dyDescent="0.25">
      <c r="B10" s="171" t="s">
        <v>24</v>
      </c>
      <c r="C10" s="541" t="s">
        <v>25</v>
      </c>
      <c r="D10" s="542"/>
      <c r="E10" s="542"/>
      <c r="F10" s="542"/>
      <c r="G10" s="542"/>
      <c r="H10" s="543"/>
      <c r="I10" s="20" t="s">
        <v>29</v>
      </c>
      <c r="J10" s="19" t="str">
        <f>IF(Units="metric","kg","lbs")</f>
        <v>lbs</v>
      </c>
      <c r="K10" s="19" t="str">
        <f>IF(Units="metric","g","oz")</f>
        <v>oz</v>
      </c>
      <c r="L10" s="19" t="s">
        <v>28</v>
      </c>
      <c r="M10" s="435" t="s">
        <v>26</v>
      </c>
      <c r="N10" s="432" t="str">
        <f>IF(Units="metric","points/kg","points/lb")</f>
        <v>points/lb</v>
      </c>
      <c r="O10" s="19" t="s">
        <v>1046</v>
      </c>
      <c r="Q10" s="173" t="s">
        <v>56</v>
      </c>
      <c r="R10" s="546" t="s">
        <v>57</v>
      </c>
      <c r="S10" s="547"/>
      <c r="T10" s="21" t="s">
        <v>58</v>
      </c>
      <c r="U10" s="21" t="s">
        <v>59</v>
      </c>
      <c r="V10" s="49" t="s">
        <v>60</v>
      </c>
      <c r="W10" s="21" t="s">
        <v>61</v>
      </c>
      <c r="X10" s="174" t="s">
        <v>62</v>
      </c>
    </row>
    <row r="11" spans="1:24" ht="15" customHeight="1" x14ac:dyDescent="0.25">
      <c r="B11" s="409" t="s">
        <v>1924</v>
      </c>
      <c r="C11" s="544" t="s">
        <v>1059</v>
      </c>
      <c r="D11" s="517"/>
      <c r="E11" s="517"/>
      <c r="F11" s="517"/>
      <c r="G11" s="517"/>
      <c r="H11" s="545"/>
      <c r="I11" s="446">
        <f>IF(C11=0,,VLOOKUP(C11,Fermentables!B:D,3))</f>
        <v>1.8</v>
      </c>
      <c r="J11" s="35">
        <v>12</v>
      </c>
      <c r="K11" s="35">
        <v>8</v>
      </c>
      <c r="L11" s="429">
        <f t="shared" ref="L11:L26" si="0">IF(TotalFermentables=0,,(J11+K11/IF(Units="metric",1000,16))/TotalFermentables)</f>
        <v>0.5780346820809249</v>
      </c>
      <c r="M11" s="436">
        <f t="shared" ref="M11:M26" si="1">IF(OR(B11="Extract",B11="Adjunct"),1,Efficiency)*((N11/1000)*(J11+K11/IF(Units="metric",1000,16))/Volume)*IF(Units="metric",3.78541178,1)</f>
        <v>3.2727272727272751E-2</v>
      </c>
      <c r="N11" s="433">
        <f>IF(C11=0,,(VLOOKUP(C11,Fermentables!B:D,2)/IF(Units="metric",0.45359237,1)))</f>
        <v>36.000000000000028</v>
      </c>
      <c r="O11" s="39">
        <f t="shared" ref="O11:O26" si="2">IF(ColorFormula="Weyermann",(L11*(I11*1.3564-0.76)*1.97),IF(ColorFormula="Efficiency",IF(OR(B11="Extract",B11="Adjunct"),1,Efficiency),1)*(J11+K11/IF(Units="metric",1000,16))*(I11*1.3564-0.76)/Volume*IF(Units="metric",3.78541178/0.45359237,1))</f>
        <v>1.9147944508670522</v>
      </c>
      <c r="Q11" s="175">
        <v>60</v>
      </c>
      <c r="R11" s="524" t="s">
        <v>1929</v>
      </c>
      <c r="S11" s="525"/>
      <c r="T11" s="36">
        <v>5.7000000000000002E-2</v>
      </c>
      <c r="U11" s="36" t="s">
        <v>1930</v>
      </c>
      <c r="V11" s="37">
        <v>4</v>
      </c>
      <c r="W11" s="38">
        <f>T11*100*V11/IF(HopUnits="grams",28.3495231,1)</f>
        <v>22.8</v>
      </c>
      <c r="X11" s="176">
        <f t="shared" ref="X11:X24" si="3">IF(OR(Volume=0,OriginalGravity=0,Q11="flame out"),,IF(Q11="dry hops",,IF(HopCalc="Rager",IF(U11="pellet",1.1,1)*IF(Q11="Mash",0.2,1)*IF(Q11="FWH",1.1,1)*V11*T11*1000*IF(HopUnits="grams",1,28.349523125)*IF(Units="metric",1,0.264172052358)*((18.11+13.86*TANH((IF(OR(Q11="FWH",Q11="mash"),BoilTime,Q11)-31.32)/18.27))/100)/(Volume*(1+(OriginalGravity-1.05)/0.2)),IF(U11="pellet",1.1,1)*IF(Q11="Mash",0.2,1)*IF(Q11="FWH",1.1,1)*(T11*V11*1000*IF(HopUnits="grams",1,28.349523125)*IF(Units="metric",1,0.264172052358)/Volume)*((1-EXP(-0.04*IF(OR(Q11="FWH",Q11="mash"),BoilTime,Q11)))/4.15)*(1.65*0.000125^(OriginalGravity-1)))))</f>
        <v>36.942735690121388</v>
      </c>
    </row>
    <row r="12" spans="1:24" ht="15" customHeight="1" x14ac:dyDescent="0.25">
      <c r="B12" s="409" t="s">
        <v>1925</v>
      </c>
      <c r="C12" s="529" t="s">
        <v>1214</v>
      </c>
      <c r="D12" s="530"/>
      <c r="E12" s="530"/>
      <c r="F12" s="530"/>
      <c r="G12" s="530"/>
      <c r="H12" s="531"/>
      <c r="I12" s="446">
        <f>IF(C12=0,,VLOOKUP(C12,Fermentables!B:D,3))</f>
        <v>2.5</v>
      </c>
      <c r="J12" s="35">
        <v>3</v>
      </c>
      <c r="K12" s="35">
        <v>8</v>
      </c>
      <c r="L12" s="429">
        <f t="shared" si="0"/>
        <v>0.16184971098265896</v>
      </c>
      <c r="M12" s="436">
        <f t="shared" si="1"/>
        <v>1.0181818181818191E-2</v>
      </c>
      <c r="N12" s="433">
        <f>IF(C12=0,,(VLOOKUP(C12,Fermentables!B:D,2)/IF(Units="metric",0.45359237,1)))</f>
        <v>40.000000000000036</v>
      </c>
      <c r="O12" s="39">
        <f t="shared" si="2"/>
        <v>0.83887838150289029</v>
      </c>
      <c r="Q12" s="175">
        <v>15</v>
      </c>
      <c r="R12" s="524" t="s">
        <v>1929</v>
      </c>
      <c r="S12" s="535"/>
      <c r="T12" s="36">
        <v>5.7000000000000002E-2</v>
      </c>
      <c r="U12" s="36" t="s">
        <v>1930</v>
      </c>
      <c r="V12" s="37">
        <v>2</v>
      </c>
      <c r="W12" s="38">
        <f t="shared" ref="W12:W24" si="4">IF(HopUnits="grams",T12*100*V12/28.3495231,T12*100*V12)</f>
        <v>11.4</v>
      </c>
      <c r="X12" s="176">
        <f t="shared" si="3"/>
        <v>9.1655457921638348</v>
      </c>
    </row>
    <row r="13" spans="1:24" ht="15" customHeight="1" x14ac:dyDescent="0.25">
      <c r="B13" s="409" t="s">
        <v>1926</v>
      </c>
      <c r="C13" s="529" t="s">
        <v>1355</v>
      </c>
      <c r="D13" s="530"/>
      <c r="E13" s="530"/>
      <c r="F13" s="530"/>
      <c r="G13" s="530"/>
      <c r="H13" s="531"/>
      <c r="I13" s="446">
        <f>IF(C13=0,,VLOOKUP(C13,Fermentables!B:D,3))</f>
        <v>34.5</v>
      </c>
      <c r="J13" s="35">
        <v>2</v>
      </c>
      <c r="K13" s="35">
        <v>0</v>
      </c>
      <c r="L13" s="429">
        <f t="shared" si="0"/>
        <v>9.2485549132947972E-2</v>
      </c>
      <c r="M13" s="436">
        <f t="shared" si="1"/>
        <v>4.9454545454545506E-3</v>
      </c>
      <c r="N13" s="433">
        <f>IF(C13=0,,(VLOOKUP(C13,Fermentables!B:D,2)/IF(Units="metric",0.45359237,1)))</f>
        <v>34.000000000000028</v>
      </c>
      <c r="O13" s="39">
        <f t="shared" si="2"/>
        <v>8.3875630982658951</v>
      </c>
      <c r="Q13" s="175">
        <v>5</v>
      </c>
      <c r="R13" s="524" t="s">
        <v>1929</v>
      </c>
      <c r="S13" s="535"/>
      <c r="T13" s="36">
        <v>5.7000000000000002E-2</v>
      </c>
      <c r="U13" s="36" t="s">
        <v>1930</v>
      </c>
      <c r="V13" s="37">
        <v>2</v>
      </c>
      <c r="W13" s="38">
        <f t="shared" si="4"/>
        <v>11.4</v>
      </c>
      <c r="X13" s="176">
        <f t="shared" si="3"/>
        <v>3.6823458144879115</v>
      </c>
    </row>
    <row r="14" spans="1:24" ht="15" customHeight="1" x14ac:dyDescent="0.25">
      <c r="B14" s="409" t="s">
        <v>1926</v>
      </c>
      <c r="C14" s="529" t="s">
        <v>122</v>
      </c>
      <c r="D14" s="530"/>
      <c r="E14" s="530"/>
      <c r="F14" s="530"/>
      <c r="G14" s="530"/>
      <c r="H14" s="531"/>
      <c r="I14" s="446">
        <f>IF(C14=0,,VLOOKUP(C14,Fermentables!B:D,3))</f>
        <v>120</v>
      </c>
      <c r="J14" s="35">
        <v>0</v>
      </c>
      <c r="K14" s="35">
        <v>8</v>
      </c>
      <c r="L14" s="429">
        <f t="shared" si="0"/>
        <v>2.3121387283236993E-2</v>
      </c>
      <c r="M14" s="436">
        <f t="shared" si="1"/>
        <v>1.2000000000000001E-3</v>
      </c>
      <c r="N14" s="433">
        <f>IF(C14=0,,(VLOOKUP(C14,Fermentables!B:D,2)/IF(Units="metric",0.45359237,1)))</f>
        <v>33</v>
      </c>
      <c r="O14" s="39">
        <f t="shared" si="2"/>
        <v>7.3793239306358389</v>
      </c>
      <c r="Q14" s="175"/>
      <c r="R14" s="524"/>
      <c r="S14" s="525"/>
      <c r="T14" s="36"/>
      <c r="U14" s="36"/>
      <c r="V14" s="37"/>
      <c r="W14" s="38">
        <f t="shared" si="4"/>
        <v>0</v>
      </c>
      <c r="X14" s="176">
        <f t="shared" si="3"/>
        <v>0</v>
      </c>
    </row>
    <row r="15" spans="1:24" ht="15" customHeight="1" x14ac:dyDescent="0.25">
      <c r="B15" s="409" t="s">
        <v>1927</v>
      </c>
      <c r="C15" s="529" t="s">
        <v>1479</v>
      </c>
      <c r="D15" s="530"/>
      <c r="E15" s="530"/>
      <c r="F15" s="530"/>
      <c r="G15" s="530"/>
      <c r="H15" s="531"/>
      <c r="I15" s="446">
        <f>IF(C15=0,,VLOOKUP(C15,Fermentables!B:D,3))</f>
        <v>2.25</v>
      </c>
      <c r="J15" s="35">
        <v>2</v>
      </c>
      <c r="K15" s="35">
        <v>0</v>
      </c>
      <c r="L15" s="429">
        <f t="shared" si="0"/>
        <v>9.2485549132947972E-2</v>
      </c>
      <c r="M15" s="436">
        <f t="shared" si="1"/>
        <v>5.3818181818181708E-3</v>
      </c>
      <c r="N15" s="433">
        <f>IF(C15=0,,(VLOOKUP(C15,Fermentables!B:D,2)/IF(Units="metric",0.45359237,1)))</f>
        <v>36.999999999999922</v>
      </c>
      <c r="O15" s="39">
        <f t="shared" si="2"/>
        <v>0.41757623121387283</v>
      </c>
      <c r="Q15" s="175"/>
      <c r="R15" s="524"/>
      <c r="S15" s="525"/>
      <c r="T15" s="36"/>
      <c r="U15" s="36"/>
      <c r="V15" s="37"/>
      <c r="W15" s="38">
        <f t="shared" si="4"/>
        <v>0</v>
      </c>
      <c r="X15" s="176">
        <f t="shared" si="3"/>
        <v>0</v>
      </c>
    </row>
    <row r="16" spans="1:24" ht="15" customHeight="1" x14ac:dyDescent="0.25">
      <c r="B16" s="246" t="s">
        <v>1925</v>
      </c>
      <c r="C16" s="529" t="s">
        <v>1250</v>
      </c>
      <c r="D16" s="530"/>
      <c r="E16" s="530"/>
      <c r="F16" s="530"/>
      <c r="G16" s="530"/>
      <c r="H16" s="531"/>
      <c r="I16" s="446">
        <f>IF(C16=0,,VLOOKUP(C16,Fermentables!B:D,3))</f>
        <v>1</v>
      </c>
      <c r="J16" s="35">
        <v>1</v>
      </c>
      <c r="K16" s="35">
        <v>0</v>
      </c>
      <c r="L16" s="429">
        <f t="shared" si="0"/>
        <v>4.6242774566473986E-2</v>
      </c>
      <c r="M16" s="436">
        <f t="shared" si="1"/>
        <v>2.4000000000000002E-3</v>
      </c>
      <c r="N16" s="433">
        <f>IF(C16=0,,(VLOOKUP(C16,Fermentables!B:D,2)/IF(Units="metric",0.45359237,1)))</f>
        <v>33</v>
      </c>
      <c r="O16" s="39">
        <f t="shared" si="2"/>
        <v>5.4331005780346817E-2</v>
      </c>
      <c r="Q16" s="175"/>
      <c r="R16" s="524"/>
      <c r="S16" s="525"/>
      <c r="T16" s="36"/>
      <c r="U16" s="36"/>
      <c r="V16" s="37"/>
      <c r="W16" s="38">
        <f t="shared" si="4"/>
        <v>0</v>
      </c>
      <c r="X16" s="176">
        <f t="shared" si="3"/>
        <v>0</v>
      </c>
    </row>
    <row r="17" spans="2:24" ht="15" customHeight="1" x14ac:dyDescent="0.25">
      <c r="B17" s="246" t="s">
        <v>1928</v>
      </c>
      <c r="C17" s="529" t="s">
        <v>1450</v>
      </c>
      <c r="D17" s="530"/>
      <c r="E17" s="530"/>
      <c r="F17" s="530"/>
      <c r="G17" s="530"/>
      <c r="H17" s="531"/>
      <c r="I17" s="446">
        <f>IF(C17=0,,VLOOKUP(C17,Fermentables!B:D,3))</f>
        <v>525.5</v>
      </c>
      <c r="J17" s="35">
        <v>0</v>
      </c>
      <c r="K17" s="35">
        <v>2</v>
      </c>
      <c r="L17" s="429">
        <f t="shared" si="0"/>
        <v>5.7803468208092483E-3</v>
      </c>
      <c r="M17" s="436">
        <f t="shared" si="1"/>
        <v>2.9090909090909118E-4</v>
      </c>
      <c r="N17" s="433">
        <f>IF(C17=0,,(VLOOKUP(C17,Fermentables!B:D,2)/IF(Units="metric",0.45359237,1)))</f>
        <v>32.000000000000028</v>
      </c>
      <c r="O17" s="39">
        <f t="shared" si="2"/>
        <v>8.1080667861271678</v>
      </c>
      <c r="Q17" s="175"/>
      <c r="R17" s="524"/>
      <c r="S17" s="525"/>
      <c r="T17" s="36"/>
      <c r="U17" s="36"/>
      <c r="V17" s="37"/>
      <c r="W17" s="38">
        <f t="shared" si="4"/>
        <v>0</v>
      </c>
      <c r="X17" s="176">
        <f t="shared" si="3"/>
        <v>0</v>
      </c>
    </row>
    <row r="18" spans="2:24" ht="15" customHeight="1" x14ac:dyDescent="0.25">
      <c r="B18" s="246"/>
      <c r="C18" s="529"/>
      <c r="D18" s="530"/>
      <c r="E18" s="530"/>
      <c r="F18" s="530"/>
      <c r="G18" s="530"/>
      <c r="H18" s="531"/>
      <c r="I18" s="446">
        <f>IF(C18=0,,VLOOKUP(C18,Fermentables!B:D,3))</f>
        <v>0</v>
      </c>
      <c r="J18" s="35"/>
      <c r="K18" s="35"/>
      <c r="L18" s="429">
        <f t="shared" si="0"/>
        <v>0</v>
      </c>
      <c r="M18" s="436">
        <f t="shared" si="1"/>
        <v>0</v>
      </c>
      <c r="N18" s="433">
        <f>IF(C18=0,,(VLOOKUP(C18,Fermentables!B:D,2)/IF(Units="metric",0.45359237,1)))</f>
        <v>0</v>
      </c>
      <c r="O18" s="39">
        <f t="shared" si="2"/>
        <v>0</v>
      </c>
      <c r="Q18" s="175"/>
      <c r="R18" s="524"/>
      <c r="S18" s="525"/>
      <c r="T18" s="36"/>
      <c r="U18" s="36"/>
      <c r="V18" s="37"/>
      <c r="W18" s="38">
        <f t="shared" si="4"/>
        <v>0</v>
      </c>
      <c r="X18" s="176">
        <f t="shared" si="3"/>
        <v>0</v>
      </c>
    </row>
    <row r="19" spans="2:24" ht="15" customHeight="1" x14ac:dyDescent="0.25">
      <c r="B19" s="246"/>
      <c r="C19" s="529"/>
      <c r="D19" s="530"/>
      <c r="E19" s="530"/>
      <c r="F19" s="530"/>
      <c r="G19" s="530"/>
      <c r="H19" s="531"/>
      <c r="I19" s="446">
        <f>IF(C19=0,,VLOOKUP(C19,Fermentables!B:D,3))</f>
        <v>0</v>
      </c>
      <c r="J19" s="35"/>
      <c r="K19" s="35"/>
      <c r="L19" s="429">
        <f t="shared" si="0"/>
        <v>0</v>
      </c>
      <c r="M19" s="436">
        <f t="shared" si="1"/>
        <v>0</v>
      </c>
      <c r="N19" s="433">
        <f>IF(C19=0,,(VLOOKUP(C19,Fermentables!B:D,2)/IF(Units="metric",0.45359237,1)))</f>
        <v>0</v>
      </c>
      <c r="O19" s="39">
        <f t="shared" si="2"/>
        <v>0</v>
      </c>
      <c r="Q19" s="175"/>
      <c r="R19" s="524"/>
      <c r="S19" s="525"/>
      <c r="T19" s="36"/>
      <c r="U19" s="36"/>
      <c r="V19" s="37"/>
      <c r="W19" s="38">
        <f t="shared" si="4"/>
        <v>0</v>
      </c>
      <c r="X19" s="176">
        <f t="shared" si="3"/>
        <v>0</v>
      </c>
    </row>
    <row r="20" spans="2:24" ht="15" customHeight="1" x14ac:dyDescent="0.25">
      <c r="B20" s="246"/>
      <c r="C20" s="529"/>
      <c r="D20" s="530"/>
      <c r="E20" s="530"/>
      <c r="F20" s="530"/>
      <c r="G20" s="530"/>
      <c r="H20" s="531"/>
      <c r="I20" s="446">
        <f>IF(C20=0,,VLOOKUP(C20,Fermentables!B:D,3))</f>
        <v>0</v>
      </c>
      <c r="J20" s="35"/>
      <c r="K20" s="35"/>
      <c r="L20" s="429">
        <f t="shared" si="0"/>
        <v>0</v>
      </c>
      <c r="M20" s="436">
        <f t="shared" si="1"/>
        <v>0</v>
      </c>
      <c r="N20" s="433">
        <f>IF(C20=0,,(VLOOKUP(C20,Fermentables!B:D,2)/IF(Units="metric",0.45359237,1)))</f>
        <v>0</v>
      </c>
      <c r="O20" s="39">
        <f t="shared" si="2"/>
        <v>0</v>
      </c>
      <c r="Q20" s="175"/>
      <c r="R20" s="524"/>
      <c r="S20" s="525"/>
      <c r="T20" s="36"/>
      <c r="U20" s="36"/>
      <c r="V20" s="37"/>
      <c r="W20" s="38">
        <f t="shared" si="4"/>
        <v>0</v>
      </c>
      <c r="X20" s="176">
        <f t="shared" si="3"/>
        <v>0</v>
      </c>
    </row>
    <row r="21" spans="2:24" ht="15" customHeight="1" x14ac:dyDescent="0.25">
      <c r="B21" s="246"/>
      <c r="C21" s="529"/>
      <c r="D21" s="530"/>
      <c r="E21" s="530"/>
      <c r="F21" s="530"/>
      <c r="G21" s="530"/>
      <c r="H21" s="531"/>
      <c r="I21" s="446">
        <f>IF(C21=0,,VLOOKUP(C21,Fermentables!B:D,3))</f>
        <v>0</v>
      </c>
      <c r="J21" s="35"/>
      <c r="K21" s="35"/>
      <c r="L21" s="429">
        <f t="shared" si="0"/>
        <v>0</v>
      </c>
      <c r="M21" s="436">
        <f t="shared" si="1"/>
        <v>0</v>
      </c>
      <c r="N21" s="433">
        <f>IF(C21=0,,(VLOOKUP(C21,Fermentables!B:D,2)/IF(Units="metric",0.45359237,1)))</f>
        <v>0</v>
      </c>
      <c r="O21" s="39">
        <f t="shared" si="2"/>
        <v>0</v>
      </c>
      <c r="Q21" s="175"/>
      <c r="R21" s="524"/>
      <c r="S21" s="525"/>
      <c r="T21" s="36"/>
      <c r="U21" s="36"/>
      <c r="V21" s="37"/>
      <c r="W21" s="38">
        <f t="shared" si="4"/>
        <v>0</v>
      </c>
      <c r="X21" s="176">
        <f t="shared" si="3"/>
        <v>0</v>
      </c>
    </row>
    <row r="22" spans="2:24" ht="15" customHeight="1" x14ac:dyDescent="0.25">
      <c r="B22" s="246"/>
      <c r="C22" s="529"/>
      <c r="D22" s="530"/>
      <c r="E22" s="530"/>
      <c r="F22" s="530"/>
      <c r="G22" s="530"/>
      <c r="H22" s="531"/>
      <c r="I22" s="446">
        <f>IF(C22=0,,VLOOKUP(C22,Fermentables!B:D,3))</f>
        <v>0</v>
      </c>
      <c r="J22" s="35"/>
      <c r="K22" s="35"/>
      <c r="L22" s="429">
        <f t="shared" si="0"/>
        <v>0</v>
      </c>
      <c r="M22" s="436">
        <f t="shared" si="1"/>
        <v>0</v>
      </c>
      <c r="N22" s="433">
        <f>IF(C22=0,,(VLOOKUP(C22,Fermentables!B:D,2)/IF(Units="metric",0.45359237,1)))</f>
        <v>0</v>
      </c>
      <c r="O22" s="39">
        <f t="shared" si="2"/>
        <v>0</v>
      </c>
      <c r="Q22" s="175"/>
      <c r="R22" s="524"/>
      <c r="S22" s="525"/>
      <c r="T22" s="36"/>
      <c r="U22" s="36"/>
      <c r="V22" s="37"/>
      <c r="W22" s="38">
        <f t="shared" si="4"/>
        <v>0</v>
      </c>
      <c r="X22" s="176">
        <f t="shared" si="3"/>
        <v>0</v>
      </c>
    </row>
    <row r="23" spans="2:24" ht="15" customHeight="1" x14ac:dyDescent="0.25">
      <c r="B23" s="246"/>
      <c r="C23" s="529"/>
      <c r="D23" s="530"/>
      <c r="E23" s="530"/>
      <c r="F23" s="530"/>
      <c r="G23" s="530"/>
      <c r="H23" s="531"/>
      <c r="I23" s="446">
        <f>IF(C23=0,,VLOOKUP(C23,Fermentables!B:D,3))</f>
        <v>0</v>
      </c>
      <c r="J23" s="35"/>
      <c r="K23" s="35"/>
      <c r="L23" s="429">
        <f t="shared" si="0"/>
        <v>0</v>
      </c>
      <c r="M23" s="436">
        <f t="shared" si="1"/>
        <v>0</v>
      </c>
      <c r="N23" s="433">
        <f>IF(C23=0,,(VLOOKUP(C23,Fermentables!B:D,2)/IF(Units="metric",0.45359237,1)))</f>
        <v>0</v>
      </c>
      <c r="O23" s="39">
        <f t="shared" si="2"/>
        <v>0</v>
      </c>
      <c r="Q23" s="175"/>
      <c r="R23" s="524"/>
      <c r="S23" s="525"/>
      <c r="T23" s="36"/>
      <c r="U23" s="36"/>
      <c r="V23" s="37"/>
      <c r="W23" s="38">
        <f t="shared" si="4"/>
        <v>0</v>
      </c>
      <c r="X23" s="176">
        <f t="shared" si="3"/>
        <v>0</v>
      </c>
    </row>
    <row r="24" spans="2:24" ht="15" customHeight="1" x14ac:dyDescent="0.25">
      <c r="B24" s="246"/>
      <c r="C24" s="529"/>
      <c r="D24" s="530"/>
      <c r="E24" s="530"/>
      <c r="F24" s="530"/>
      <c r="G24" s="530"/>
      <c r="H24" s="531"/>
      <c r="I24" s="446">
        <f>IF(C24=0,,VLOOKUP(C24,Fermentables!B:D,3))</f>
        <v>0</v>
      </c>
      <c r="J24" s="35"/>
      <c r="K24" s="35"/>
      <c r="L24" s="429">
        <f t="shared" si="0"/>
        <v>0</v>
      </c>
      <c r="M24" s="436">
        <f t="shared" si="1"/>
        <v>0</v>
      </c>
      <c r="N24" s="433">
        <f>IF(C24=0,,(VLOOKUP(C24,Fermentables!B:D,2)/IF(Units="metric",0.45359237,1)))</f>
        <v>0</v>
      </c>
      <c r="O24" s="39">
        <f t="shared" si="2"/>
        <v>0</v>
      </c>
      <c r="Q24" s="175"/>
      <c r="R24" s="524"/>
      <c r="S24" s="525"/>
      <c r="T24" s="36"/>
      <c r="U24" s="36"/>
      <c r="V24" s="37"/>
      <c r="W24" s="38">
        <f t="shared" si="4"/>
        <v>0</v>
      </c>
      <c r="X24" s="176">
        <f t="shared" si="3"/>
        <v>0</v>
      </c>
    </row>
    <row r="25" spans="2:24" ht="15" customHeight="1" x14ac:dyDescent="0.25">
      <c r="B25" s="246"/>
      <c r="C25" s="529"/>
      <c r="D25" s="530"/>
      <c r="E25" s="530"/>
      <c r="F25" s="530"/>
      <c r="G25" s="530"/>
      <c r="H25" s="531"/>
      <c r="I25" s="446">
        <f>IF(C25=0,,VLOOKUP(C25,Fermentables!B:D,3))</f>
        <v>0</v>
      </c>
      <c r="J25" s="35"/>
      <c r="K25" s="35"/>
      <c r="L25" s="429">
        <f t="shared" si="0"/>
        <v>0</v>
      </c>
      <c r="M25" s="436">
        <f t="shared" si="1"/>
        <v>0</v>
      </c>
      <c r="N25" s="433">
        <f>IF(C25=0,,(VLOOKUP(C25,Fermentables!B:D,2)/IF(Units="metric",0.45359237,1)))</f>
        <v>0</v>
      </c>
      <c r="O25" s="39">
        <f t="shared" si="2"/>
        <v>0</v>
      </c>
      <c r="Q25" s="175"/>
      <c r="R25" s="524"/>
      <c r="S25" s="525"/>
      <c r="T25" s="36"/>
      <c r="U25" s="36"/>
      <c r="V25" s="37"/>
      <c r="W25" s="38">
        <f>IF(HopUnits="grams",T25*100*V25/28.3495231,T25*100*V25)</f>
        <v>0</v>
      </c>
      <c r="X25" s="176">
        <f>IF(OR(Volume=0,OriginalGravity=0,Q25="flame out"),,IF(Q25="dry hops",,IF(HopCalc="Rager",IF(U25="pellet",1.1,1)*IF(Q25="Mash",0.2,1)*IF(Q25="FWH",1.1,1)*V25*T25*1000*IF(HopUnits="grams",1,28.349523125)*IF(Units="metric",1,0.264172052358)*((18.11+13.86*TANH((IF(OR(Q25="FWH",Q25="mash"),BoilTime,Q25)-31.32)/18.27))/100)/(Volume*(1+(OriginalGravity-1.05)/0.2)),IF(U25="pellet",1.1,1)*IF(Q25="Mash",0.2,1)*IF(Q25="FWH",1.1,1)*(T25*V25*1000*IF(HopUnits="grams",1,28.349523125)*IF(Units="metric",1,0.264172052358)/Volume)*((1-EXP(-0.04*IF(OR(Q25="FWH",Q25="mash"),BoilTime,Q25)))/4.15)*(1.65*0.000125^(OriginalGravity-1)))))</f>
        <v>0</v>
      </c>
    </row>
    <row r="26" spans="2:24" ht="15" customHeight="1" x14ac:dyDescent="0.25">
      <c r="B26" s="246"/>
      <c r="C26" s="526"/>
      <c r="D26" s="527"/>
      <c r="E26" s="527"/>
      <c r="F26" s="527"/>
      <c r="G26" s="527"/>
      <c r="H26" s="528"/>
      <c r="I26" s="447">
        <f>IF(C26=0,,VLOOKUP(C26,Fermentables!B:D,3))</f>
        <v>0</v>
      </c>
      <c r="J26" s="252"/>
      <c r="K26" s="252"/>
      <c r="L26" s="430">
        <f t="shared" si="0"/>
        <v>0</v>
      </c>
      <c r="M26" s="436">
        <f t="shared" si="1"/>
        <v>0</v>
      </c>
      <c r="N26" s="433">
        <f>IF(C26=0,,(VLOOKUP(C26,Fermentables!B:D,2)/IF(Units="metric",0.45359237,1)))</f>
        <v>0</v>
      </c>
      <c r="O26" s="39">
        <f t="shared" si="2"/>
        <v>0</v>
      </c>
      <c r="Q26" s="415"/>
      <c r="R26" s="532"/>
      <c r="S26" s="533"/>
      <c r="T26" s="181"/>
      <c r="U26" s="181"/>
      <c r="V26" s="182"/>
      <c r="W26" s="416">
        <f>IF(HopUnits="grams",T26*100*V26/28.3495231,T26*100*V26)</f>
        <v>0</v>
      </c>
      <c r="X26" s="417">
        <f>IF(OR(Volume=0,OriginalGravity=0,Q26="flame out"),,IF(Q26="dry hops",,IF(HopCalc="Rager",IF(U26="pellet",1.1,1)*IF(Q26="Mash",0.2,1)*IF(Q26="FWH",1.1,1)*V26*T26*1000*IF(HopUnits="grams",1,28.349523125)*IF(Units="metric",1,0.264172052358)*((18.11+13.86*TANH((IF(OR(Q26="FWH",Q26="mash"),BoilTime,Q26)-31.32)/18.27))/100)/(Volume*(1+(OriginalGravity-1.05)/0.2)),IF(U26="pellet",1.1,1)*IF(Q26="Mash",0.2,1)*IF(Q26="FWH",1.1,1)*(T26*V26*1000*IF(HopUnits="grams",1,28.349523125)*IF(Units="metric",1,0.264172052358)/Volume)*((1-EXP(-0.04*IF(OR(Q26="FWH",Q26="mash"),BoilTime,Q26)))/4.15)*(1.65*0.000125^(OriginalGravity-1)))))</f>
        <v>0</v>
      </c>
    </row>
    <row r="27" spans="2:24" ht="15" customHeight="1" thickBot="1" x14ac:dyDescent="0.3">
      <c r="B27" s="257" t="str">
        <f>IF(Units="metric","Grains (kg):","Grains (lbs):")</f>
        <v>Grains (lbs):</v>
      </c>
      <c r="C27" s="251">
        <f>SUM(SUMIF(B11:B26,{"Pale","Vienna","Munich","NonBarley","Caramel","Toasted","Roasted","Dextrin","Acid","Flaked","Smoked"},J11:J26))+SUM(SUMIF(B11:B26,{"Pale","Vienna","Munich","NonBarley","Caramel","Toasted","Roasted","Dextrin","Acid","Flaked","Smoked"},K11:K26))/IF(Units="metric",1000,16)</f>
        <v>21.625</v>
      </c>
      <c r="D27" s="61"/>
      <c r="E27" s="250" t="str">
        <f>IF(Units="metric","Sugars/Extracts (kg):","Sugars/Extracts (lbs):")</f>
        <v>Sugars/Extracts (lbs):</v>
      </c>
      <c r="F27" s="251">
        <f>SUM(SUMIF(B11:B26,{"Extract","Adjunct"},J11:J26))+SUM(SUMIF(B11:B26,{"Extract","Adjunct"},K11:K26))/IF(Units="metric",1000,16)</f>
        <v>0</v>
      </c>
      <c r="G27" s="61"/>
      <c r="H27" s="61"/>
      <c r="I27" s="29"/>
      <c r="J27" s="253" t="str">
        <f>IF(Units="metric","Total Fermentables (kg):","Total Fermentables (lbs):")</f>
        <v>Total Fermentables (lbs):</v>
      </c>
      <c r="K27" s="440">
        <f>SUM(Mass,F27)</f>
        <v>21.625</v>
      </c>
      <c r="L27" s="431">
        <f>SUM(L11:L26)</f>
        <v>1</v>
      </c>
      <c r="M27" s="437">
        <f>1+SUM(M11:M26)</f>
        <v>1.0571272727272727</v>
      </c>
      <c r="N27" s="434"/>
      <c r="O27" s="255"/>
      <c r="Q27" s="418"/>
      <c r="R27" s="419"/>
      <c r="S27" s="420"/>
      <c r="T27" s="420"/>
      <c r="U27" s="421"/>
      <c r="V27" s="422" t="s">
        <v>55</v>
      </c>
      <c r="W27" s="423">
        <f>SUM(W11:W26)</f>
        <v>45.6</v>
      </c>
      <c r="X27" s="424">
        <f>SUM(X11:X26)</f>
        <v>49.790627296773131</v>
      </c>
    </row>
    <row r="28" spans="2:24" ht="15" customHeight="1" x14ac:dyDescent="0.25">
      <c r="B28" s="10"/>
      <c r="C28" s="10"/>
      <c r="D28" s="10"/>
      <c r="E28" s="10"/>
      <c r="F28" s="10"/>
      <c r="G28" s="10"/>
      <c r="H28" s="10"/>
      <c r="I28" s="10"/>
      <c r="J28" s="225"/>
      <c r="K28" s="50"/>
      <c r="L28" s="10"/>
      <c r="M28" s="10"/>
      <c r="N28" s="225"/>
      <c r="O28" s="225"/>
    </row>
    <row r="29" spans="2:24" ht="15" customHeight="1" thickBot="1" x14ac:dyDescent="0.35">
      <c r="B29" s="338" t="s">
        <v>1021</v>
      </c>
      <c r="D29" s="9"/>
      <c r="E29" s="9"/>
      <c r="M29" s="26"/>
      <c r="Q29" s="339" t="s">
        <v>1022</v>
      </c>
    </row>
    <row r="30" spans="2:24" ht="15" customHeight="1" x14ac:dyDescent="0.25">
      <c r="B30" s="158"/>
      <c r="C30" s="157" t="str">
        <f>IF(Units="metric","Mash °C", "Mash °F")</f>
        <v>Mash °F</v>
      </c>
      <c r="D30" s="157" t="s">
        <v>49</v>
      </c>
      <c r="E30" s="157" t="str">
        <f>IF(Units="metric","H2O °C", "H2O °F")</f>
        <v>H2O °F</v>
      </c>
      <c r="F30" s="157" t="str">
        <f>IF(Units="metric","Liters", "Gallons")</f>
        <v>Gallons</v>
      </c>
      <c r="G30" s="157" t="str">
        <f>IF(Units="metric","Kgs", "Pounds")</f>
        <v>Pounds</v>
      </c>
      <c r="H30" s="157" t="str">
        <f>IF(Units="metric","Mash (L):","Mash Vol")</f>
        <v>Mash Vol</v>
      </c>
      <c r="I30" s="330" t="s">
        <v>1024</v>
      </c>
      <c r="J30" s="332"/>
      <c r="Q30" s="158"/>
      <c r="R30" s="408" t="str">
        <f>IF(Units="Metric", "Mash Tun Loss (L):", "Mash Tun Loss (gal):")</f>
        <v>Mash Tun Loss (gal):</v>
      </c>
      <c r="S30" s="343">
        <v>0.25</v>
      </c>
      <c r="T30" s="42"/>
      <c r="U30" s="42"/>
      <c r="V30" s="315" t="str">
        <f>IF(Units="Metric", "1st Runnings Vol (L):","1st Runnings Vol (gal):")</f>
        <v>1st Runnings Vol (gal):</v>
      </c>
      <c r="W30" s="344">
        <f>IF(F31=0,,SUM(F31:F33)-Mass*Grain_absorption-S30)</f>
        <v>6.2375000000000007</v>
      </c>
    </row>
    <row r="31" spans="2:24" ht="15" customHeight="1" x14ac:dyDescent="0.25">
      <c r="B31" s="160" t="s">
        <v>50</v>
      </c>
      <c r="C31" s="53">
        <v>154</v>
      </c>
      <c r="D31" s="342">
        <v>1.6</v>
      </c>
      <c r="E31" s="223">
        <f>IF(OR(C31=0,D31=0),,((IF(Units="metric",0.417270222601,0.2))/D31)*(C31-Grain_Temp)+C31)</f>
        <v>164.5</v>
      </c>
      <c r="F31" s="365">
        <f>IF(C31=0,,Mass*D31/IF(Units="metric",1,4))</f>
        <v>8.65</v>
      </c>
      <c r="G31" s="57">
        <f>F31*IF(Units="metric",1,8.345404)</f>
        <v>72.187744600000002</v>
      </c>
      <c r="H31" s="320">
        <f>IF(Units="metric",(Mass/0.45359237)*0.2971+F31,Mass*0.07812+F31)</f>
        <v>10.339345</v>
      </c>
      <c r="I31" s="331">
        <v>0.1</v>
      </c>
      <c r="J31" s="333" t="str">
        <f>IF(Units="metric", "(L/kg)", "(gal/lb)")</f>
        <v>(gal/lb)</v>
      </c>
      <c r="Q31" s="161"/>
      <c r="R31" s="220" t="str">
        <f>IF(Units="Metric","Hop Absorption (L):","Hop Absorption (gal):")</f>
        <v>Hop Absorption (gal):</v>
      </c>
      <c r="S31" s="41">
        <f>IF(Units="Metric",SUMIF(U11:U26,"Pellet",(V11:V26))*0.00667630351413357+SUMIF(U11:U26,"Whole",(V11:V26))*0.0133526070282671,SUMIF(U11:U26,"Pellet",(V11:V26))*0.05+SUMIF(U11:U26,"Whole",(V11:V26))*0.1)</f>
        <v>0.4</v>
      </c>
      <c r="T31" s="10"/>
      <c r="U31" s="10"/>
      <c r="V31" s="220" t="str">
        <f>IF(Units="Metric", "2nd Runnings Vol (L):","2nd Runnings Vol (gal):")</f>
        <v>2nd Runnings Vol (gal):</v>
      </c>
      <c r="W31" s="325">
        <f>F34</f>
        <v>6.05</v>
      </c>
    </row>
    <row r="32" spans="2:24" s="11" customFormat="1" ht="15" customHeight="1" x14ac:dyDescent="0.25">
      <c r="B32" s="160" t="s">
        <v>51</v>
      </c>
      <c r="C32" s="54"/>
      <c r="D32" s="335">
        <f>IF(Mass=0,,(F31+F32)*IF(M5="metric",1,4)/Mass)</f>
        <v>1.6</v>
      </c>
      <c r="E32" s="340"/>
      <c r="F32" s="366">
        <f>IF(E32=0,,IF(OR(C31=0,C32=0,C32=C31),,(C32-C31)*((IF(Units="metric",0.417270222601,0.05))*Mass+F31)/(E32-C32)))</f>
        <v>0</v>
      </c>
      <c r="G32" s="57">
        <f>F32*IF(Units="metric",1,8.345404)</f>
        <v>0</v>
      </c>
      <c r="H32" s="320">
        <f>IF(F32=0,,IF(Units="metric",(Mass/0.45359237)*0.2971+F31+F32,Mass*0.07812+F31+F32))</f>
        <v>0</v>
      </c>
      <c r="I32" s="221" t="s">
        <v>1023</v>
      </c>
      <c r="J32" s="165"/>
      <c r="Q32" s="345"/>
      <c r="R32" s="220" t="str">
        <f>IF(Units="Metric","Kettle Loss (L):","Kettle Loss (gal):")</f>
        <v>Kettle Loss (gal):</v>
      </c>
      <c r="S32" s="183">
        <v>0.5</v>
      </c>
      <c r="T32" s="10"/>
      <c r="U32" s="346"/>
      <c r="V32" s="220" t="str">
        <f>IF(Units="Metric", "Preboil, Target (L):","Preboil, Target (gal):")</f>
        <v>Preboil, Target (gal):</v>
      </c>
      <c r="W32" s="326">
        <f>Volume*S33*BoilTime/60+Volume</f>
        <v>12.1</v>
      </c>
    </row>
    <row r="33" spans="2:24" ht="15" customHeight="1" x14ac:dyDescent="0.25">
      <c r="B33" s="334" t="s">
        <v>52</v>
      </c>
      <c r="C33" s="54"/>
      <c r="D33" s="335">
        <f>IF(Mass=0,,(F31+F32+F33)*IF(M7="metric",1,4)/Mass)</f>
        <v>1.6</v>
      </c>
      <c r="E33" s="300"/>
      <c r="F33" s="367">
        <f>IF(E33=0,,IF(OR(C31=0,C32=0,C33=0,C33=C32),,(C33-C32)*((IF(Units="metric",0.417270222601,0.05))*Mass+F32+F31)/(E33-C33)))</f>
        <v>0</v>
      </c>
      <c r="G33" s="57">
        <f>F33*IF(Units="metric",1,8.345404)</f>
        <v>0</v>
      </c>
      <c r="H33" s="320">
        <f>IF(F33=0,,IF(Units="metric",(Mass/0.45359237)*0.2971+F31+F32+F33,Mass*0.07812+F31+F32+F33))</f>
        <v>0</v>
      </c>
      <c r="I33" s="53">
        <v>70</v>
      </c>
      <c r="J33" s="333" t="str">
        <f>IF(Units="metric", "(°C)", "(°F)")</f>
        <v>(°F)</v>
      </c>
      <c r="P33" s="10"/>
      <c r="Q33" s="161"/>
      <c r="R33" s="220" t="s">
        <v>1033</v>
      </c>
      <c r="S33" s="317">
        <v>0.1</v>
      </c>
      <c r="T33" s="10"/>
      <c r="U33" s="10"/>
      <c r="V33" s="220" t="str">
        <f>IF(Units="Metric", "Preboil, Actual (L):","Preboil, Actual (gal):")</f>
        <v>Preboil, Actual (gal):</v>
      </c>
      <c r="W33" s="347">
        <f>IF(W30=0,,W30+F34)</f>
        <v>12.287500000000001</v>
      </c>
    </row>
    <row r="34" spans="2:24" ht="15" customHeight="1" thickBot="1" x14ac:dyDescent="0.3">
      <c r="B34" s="164" t="s">
        <v>53</v>
      </c>
      <c r="C34" s="318">
        <v>168</v>
      </c>
      <c r="D34" s="341">
        <f>IF(Mass=0,,F34*IF(M7="metric",1,4)/Mass)</f>
        <v>1.1190751445086704</v>
      </c>
      <c r="E34" s="319">
        <f>IF(OR(Mass=0,C34=0,F34=0),,((IF(Units="metric",0.417270222601,0.2))/(4*F34/Mass))*(C34-(MAX(C31:C33)))+C34)</f>
        <v>170.50206611570249</v>
      </c>
      <c r="F34" s="368">
        <f>W32/2</f>
        <v>6.05</v>
      </c>
      <c r="G34" s="322">
        <f>F34*IF(Units="metric",1,8.345404)</f>
        <v>50.489694200000002</v>
      </c>
      <c r="H34" s="321">
        <f>IF(Units="metric",(Mass/0.45359237)*0.2971+F34,Mass*0.07812+F34)</f>
        <v>7.7393450000000001</v>
      </c>
      <c r="I34" s="15"/>
      <c r="J34" s="219"/>
      <c r="P34" s="10"/>
      <c r="Q34" s="218"/>
      <c r="R34" s="316" t="s">
        <v>1020</v>
      </c>
      <c r="S34" s="348">
        <v>60</v>
      </c>
      <c r="T34" s="15"/>
      <c r="U34" s="15"/>
      <c r="V34" s="316" t="str">
        <f>IF(Units="Metric","scale recipe to (L):","Scale recipe to (gal):")</f>
        <v>Scale recipe to (gal):</v>
      </c>
      <c r="W34" s="349">
        <f>(Volume+S32)/((Volume-S31)/Volume)</f>
        <v>11.933962264150944</v>
      </c>
    </row>
    <row r="35" spans="2:24" ht="15" customHeight="1" x14ac:dyDescent="0.25">
      <c r="P35" s="10"/>
    </row>
    <row r="36" spans="2:24" ht="15" customHeight="1" thickBot="1" x14ac:dyDescent="0.35">
      <c r="B36" s="339" t="s">
        <v>63</v>
      </c>
      <c r="C36" s="26"/>
      <c r="D36" s="26"/>
      <c r="E36" s="26"/>
      <c r="F36" s="10"/>
      <c r="G36" s="10"/>
      <c r="H36" s="10"/>
      <c r="P36" s="10"/>
      <c r="Q36" s="336" t="s">
        <v>23</v>
      </c>
      <c r="R36" s="15"/>
      <c r="S36" s="15"/>
      <c r="T36" s="15"/>
      <c r="U36" s="15"/>
      <c r="V36" s="15"/>
      <c r="W36" s="15"/>
      <c r="X36" s="15"/>
    </row>
    <row r="37" spans="2:24" ht="15" customHeight="1" x14ac:dyDescent="0.25">
      <c r="B37" s="537" t="s">
        <v>160</v>
      </c>
      <c r="C37" s="538"/>
      <c r="D37" s="538"/>
      <c r="E37" s="538"/>
      <c r="F37" s="538"/>
      <c r="G37" s="538"/>
      <c r="H37" s="42"/>
      <c r="I37" s="413" t="s">
        <v>21</v>
      </c>
      <c r="J37" s="395">
        <f>IF(B37=0,,VLOOKUP(B37,Yeast!H:I,2)/100)</f>
        <v>0.75</v>
      </c>
      <c r="P37" s="10"/>
      <c r="Q37" s="158"/>
      <c r="R37" s="157" t="s">
        <v>30</v>
      </c>
      <c r="S37" s="157" t="s">
        <v>31</v>
      </c>
      <c r="T37" s="157" t="s">
        <v>32</v>
      </c>
      <c r="U37" s="157" t="s">
        <v>33</v>
      </c>
      <c r="V37" s="157" t="s">
        <v>34</v>
      </c>
      <c r="W37" s="157" t="s">
        <v>35</v>
      </c>
      <c r="X37" s="159" t="s">
        <v>36</v>
      </c>
    </row>
    <row r="38" spans="2:24" ht="15" customHeight="1" thickBot="1" x14ac:dyDescent="0.3">
      <c r="B38" s="414" t="str">
        <f>IF(B37=0,,(VLOOKUP(B37,Yeast!H3:J398,3)))</f>
        <v>Ale</v>
      </c>
      <c r="C38" s="412"/>
      <c r="D38" s="412" t="s">
        <v>65</v>
      </c>
      <c r="E38" s="392">
        <f>IF(B37=0,,IF(B38="Ale",750000,(IF(B38="Hybrid",1000000,1500000)))*Volume*IF(Units="metric",1000,3785.411784)*D6/1000000000)</f>
        <v>439.39532736000672</v>
      </c>
      <c r="F38" s="15"/>
      <c r="G38" s="412" t="s">
        <v>1025</v>
      </c>
      <c r="H38" s="393">
        <v>125</v>
      </c>
      <c r="I38" s="412" t="s">
        <v>1030</v>
      </c>
      <c r="J38" s="166" t="str">
        <f>ROUND(IF(H38=0,,E38/(H38)),2)&amp;" L"</f>
        <v>3.52 L</v>
      </c>
      <c r="Q38" s="160" t="s">
        <v>37</v>
      </c>
      <c r="R38" s="64">
        <v>24.666666666666668</v>
      </c>
      <c r="S38" s="65">
        <v>8.3666666666666671</v>
      </c>
      <c r="T38" s="65">
        <v>44.333333333333336</v>
      </c>
      <c r="U38" s="65">
        <v>18</v>
      </c>
      <c r="V38" s="65">
        <v>49</v>
      </c>
      <c r="W38" s="66">
        <v>117.69739775587847</v>
      </c>
      <c r="X38" s="325">
        <f>IF(V38=0,,U38/V38)</f>
        <v>0.36734693877551022</v>
      </c>
    </row>
    <row r="39" spans="2:24" ht="15" customHeight="1" x14ac:dyDescent="0.25">
      <c r="Q39" s="160" t="s">
        <v>38</v>
      </c>
      <c r="R39" s="67">
        <v>61.530666666666662</v>
      </c>
      <c r="S39" s="68">
        <v>8.3666666666666671</v>
      </c>
      <c r="T39" s="68">
        <v>44.333333333333336</v>
      </c>
      <c r="U39" s="68">
        <v>106.476</v>
      </c>
      <c r="V39" s="68">
        <v>49</v>
      </c>
      <c r="W39" s="69">
        <v>117.69739775587847</v>
      </c>
      <c r="X39" s="326">
        <f>IF(V39=0,,U39/V39)</f>
        <v>2.1729795918367345</v>
      </c>
    </row>
    <row r="40" spans="2:24" ht="15" customHeight="1" thickBot="1" x14ac:dyDescent="0.35">
      <c r="B40" s="336" t="s">
        <v>71</v>
      </c>
      <c r="C40" s="13"/>
      <c r="D40" s="13"/>
      <c r="E40" s="13"/>
      <c r="F40" s="13"/>
      <c r="G40" s="13"/>
      <c r="H40" s="13"/>
      <c r="I40" s="13"/>
      <c r="J40" s="13"/>
      <c r="K40" s="13"/>
      <c r="L40" s="13"/>
      <c r="M40" s="13"/>
      <c r="Q40" s="522" t="s">
        <v>1647</v>
      </c>
      <c r="R40" s="523"/>
      <c r="S40" s="495" t="s">
        <v>1648</v>
      </c>
      <c r="T40" s="488">
        <v>3.6</v>
      </c>
      <c r="U40" s="43" t="s">
        <v>1649</v>
      </c>
      <c r="V40" s="488">
        <v>3</v>
      </c>
      <c r="W40" s="508" t="str">
        <f>IF(X39=0,,IF(X39&gt;2,"Very Bitter",IF(X39&gt;1.3,"Bitter",IF(X39&gt;0.75,"Balanced",IF(X39&gt;0.5,"Malty","Very Malty")))))</f>
        <v>Very Bitter</v>
      </c>
      <c r="X40" s="509"/>
    </row>
    <row r="41" spans="2:24" ht="15" customHeight="1" x14ac:dyDescent="0.25">
      <c r="B41" s="516"/>
      <c r="C41" s="517"/>
      <c r="D41" s="517"/>
      <c r="E41" s="517"/>
      <c r="F41" s="517"/>
      <c r="G41" s="517"/>
      <c r="H41" s="517"/>
      <c r="I41" s="517"/>
      <c r="J41" s="517"/>
      <c r="K41" s="517"/>
      <c r="L41" s="517"/>
      <c r="M41" s="518"/>
      <c r="Q41" s="161"/>
      <c r="R41" s="314" t="s">
        <v>39</v>
      </c>
      <c r="S41" s="314" t="s">
        <v>40</v>
      </c>
      <c r="T41" s="314" t="s">
        <v>41</v>
      </c>
      <c r="U41" s="314" t="s">
        <v>42</v>
      </c>
      <c r="V41" s="314" t="s">
        <v>43</v>
      </c>
      <c r="W41" s="314" t="s">
        <v>44</v>
      </c>
      <c r="X41" s="299" t="s">
        <v>45</v>
      </c>
    </row>
    <row r="42" spans="2:24" ht="15" customHeight="1" x14ac:dyDescent="0.25">
      <c r="B42" s="516"/>
      <c r="C42" s="517"/>
      <c r="D42" s="517"/>
      <c r="E42" s="517"/>
      <c r="F42" s="517"/>
      <c r="G42" s="517"/>
      <c r="H42" s="517"/>
      <c r="I42" s="517"/>
      <c r="J42" s="517"/>
      <c r="K42" s="517"/>
      <c r="L42" s="517"/>
      <c r="M42" s="518"/>
      <c r="Q42" s="160" t="s">
        <v>46</v>
      </c>
      <c r="R42" s="64">
        <v>2.6</v>
      </c>
      <c r="S42" s="65"/>
      <c r="T42" s="65"/>
      <c r="U42" s="65"/>
      <c r="V42" s="65"/>
      <c r="W42" s="65"/>
      <c r="X42" s="162"/>
    </row>
    <row r="43" spans="2:24" ht="15" customHeight="1" x14ac:dyDescent="0.25">
      <c r="B43" s="516"/>
      <c r="C43" s="517"/>
      <c r="D43" s="517"/>
      <c r="E43" s="517"/>
      <c r="F43" s="517"/>
      <c r="G43" s="517"/>
      <c r="H43" s="517"/>
      <c r="I43" s="517"/>
      <c r="J43" s="517"/>
      <c r="K43" s="517"/>
      <c r="L43" s="517"/>
      <c r="M43" s="518"/>
      <c r="Q43" s="160" t="s">
        <v>47</v>
      </c>
      <c r="R43" s="67">
        <v>1.8</v>
      </c>
      <c r="S43" s="68"/>
      <c r="T43" s="68"/>
      <c r="U43" s="68"/>
      <c r="V43" s="68"/>
      <c r="W43" s="68"/>
      <c r="X43" s="163"/>
    </row>
    <row r="44" spans="2:24" ht="15" customHeight="1" thickBot="1" x14ac:dyDescent="0.3">
      <c r="B44" s="516"/>
      <c r="C44" s="517"/>
      <c r="D44" s="517"/>
      <c r="E44" s="517"/>
      <c r="F44" s="517"/>
      <c r="G44" s="517"/>
      <c r="H44" s="517"/>
      <c r="I44" s="517"/>
      <c r="J44" s="517"/>
      <c r="K44" s="517"/>
      <c r="L44" s="517"/>
      <c r="M44" s="518"/>
      <c r="Q44" s="164" t="s">
        <v>48</v>
      </c>
      <c r="R44" s="322">
        <f t="shared" ref="R44:X44" si="5">SUM(R42:R43)</f>
        <v>4.4000000000000004</v>
      </c>
      <c r="S44" s="323">
        <f t="shared" si="5"/>
        <v>0</v>
      </c>
      <c r="T44" s="323">
        <f t="shared" si="5"/>
        <v>0</v>
      </c>
      <c r="U44" s="323">
        <f t="shared" si="5"/>
        <v>0</v>
      </c>
      <c r="V44" s="323">
        <f t="shared" si="5"/>
        <v>0</v>
      </c>
      <c r="W44" s="323">
        <f t="shared" si="5"/>
        <v>0</v>
      </c>
      <c r="X44" s="324">
        <f t="shared" si="5"/>
        <v>0</v>
      </c>
    </row>
    <row r="45" spans="2:24" ht="15" customHeight="1" x14ac:dyDescent="0.25">
      <c r="B45" s="516"/>
      <c r="C45" s="517"/>
      <c r="D45" s="517"/>
      <c r="E45" s="517"/>
      <c r="F45" s="517"/>
      <c r="G45" s="517"/>
      <c r="H45" s="517"/>
      <c r="I45" s="517"/>
      <c r="J45" s="517"/>
      <c r="K45" s="517"/>
      <c r="L45" s="517"/>
      <c r="M45" s="518"/>
    </row>
    <row r="46" spans="2:24" ht="15" customHeight="1" thickBot="1" x14ac:dyDescent="0.35">
      <c r="B46" s="516"/>
      <c r="C46" s="517"/>
      <c r="D46" s="517"/>
      <c r="E46" s="517"/>
      <c r="F46" s="517"/>
      <c r="G46" s="517"/>
      <c r="H46" s="517"/>
      <c r="I46" s="517"/>
      <c r="J46" s="517"/>
      <c r="K46" s="517"/>
      <c r="L46" s="517"/>
      <c r="M46" s="518"/>
      <c r="Q46" s="336" t="s">
        <v>66</v>
      </c>
      <c r="R46" s="15"/>
      <c r="S46" s="15"/>
      <c r="T46" s="15"/>
      <c r="U46" s="15"/>
      <c r="V46" s="15"/>
      <c r="W46" s="15"/>
      <c r="X46" s="15"/>
    </row>
    <row r="47" spans="2:24" x14ac:dyDescent="0.25">
      <c r="B47" s="516"/>
      <c r="C47" s="517"/>
      <c r="D47" s="517"/>
      <c r="E47" s="517"/>
      <c r="F47" s="517"/>
      <c r="G47" s="517"/>
      <c r="H47" s="517"/>
      <c r="I47" s="517"/>
      <c r="J47" s="517"/>
      <c r="K47" s="517"/>
      <c r="L47" s="517"/>
      <c r="M47" s="518"/>
      <c r="Q47" s="167" t="s">
        <v>67</v>
      </c>
      <c r="R47" s="45">
        <v>2.5</v>
      </c>
      <c r="S47" s="515" t="str">
        <f>IF(Units="metric","Beer Vol (L)","Beer Vol (gal)")</f>
        <v>Beer Vol (gal)</v>
      </c>
      <c r="T47" s="515"/>
      <c r="U47" s="190">
        <v>11</v>
      </c>
      <c r="V47" s="514" t="str">
        <f>IF(Units="metric","Beer Temp (C)","Beer Temp (F)")</f>
        <v>Beer Temp (F)</v>
      </c>
      <c r="W47" s="514"/>
      <c r="X47" s="168">
        <v>65</v>
      </c>
    </row>
    <row r="48" spans="2:24" x14ac:dyDescent="0.25">
      <c r="B48" s="516"/>
      <c r="C48" s="517"/>
      <c r="D48" s="517"/>
      <c r="E48" s="517"/>
      <c r="F48" s="517"/>
      <c r="G48" s="517"/>
      <c r="H48" s="517"/>
      <c r="I48" s="517"/>
      <c r="J48" s="517"/>
      <c r="K48" s="517"/>
      <c r="L48" s="517"/>
      <c r="M48" s="518"/>
      <c r="Q48" s="169" t="str">
        <f>IF(Units="metric","g sugar","oz sugar")</f>
        <v>oz sugar</v>
      </c>
      <c r="R48" s="60">
        <f>IF(OR(VolCO2=0,BeerTemp=0),,(VolCO2-(3.0378-(0.050062*IF(TempUnits="Beer Temp (C)",BeerTemp*9/5+32,BeerTemp))+(0.00026555*(IF(TempUnits="Beer Temp (C)",BeerTemp*9/5+32,BeerTemp))^2)))*IF(Sugar="Cane or table sugar (sucrose)", 3.82,(IF(Sugar="Corn sugar (glucose/dextrose)", 4.02,(IF(Sugar="DME Munton &amp; Fison (75% AA)", 6.8,(IF(Sugar="DME Northwestern (70% AA)", 7.2,(IF(Sugar="DME Laaglander (55% AA)", 9.3,))))))))))*BeerVol*IF(PrimingUnits="g sugar",1,0.03527396195)*IF(BeerVolUnits="Beer Vol (L)",1,3.785411784)</f>
        <v>9.4134983014248768</v>
      </c>
      <c r="S48" s="10"/>
      <c r="T48" s="220" t="s">
        <v>68</v>
      </c>
      <c r="U48" s="510" t="s">
        <v>69</v>
      </c>
      <c r="V48" s="511"/>
      <c r="W48" s="511"/>
      <c r="X48" s="512"/>
    </row>
    <row r="49" spans="2:24" ht="15.75" thickBot="1" x14ac:dyDescent="0.3">
      <c r="B49" s="519"/>
      <c r="C49" s="520"/>
      <c r="D49" s="520"/>
      <c r="E49" s="520"/>
      <c r="F49" s="520"/>
      <c r="G49" s="520"/>
      <c r="H49" s="520"/>
      <c r="I49" s="520"/>
      <c r="J49" s="520"/>
      <c r="K49" s="520"/>
      <c r="L49" s="520"/>
      <c r="M49" s="521"/>
      <c r="Q49" s="164" t="s">
        <v>70</v>
      </c>
      <c r="R49" s="46">
        <f>IF(VolCO2=0,,-16.6999-0.0101059*IF(ServingUnits="Serving Temp (C)",ServingTemp*9/5+32,ServingTemp)+0.00116512*IF(ServingUnits="Serving Temp (C)",ServingTemp*9/5+32,ServingTemp)^2+0.173354*IF(ServingUnits="Serving Temp (C)",ServingTemp*9/5+32,ServingTemp)*VolCO2+4.24267*VolCO2-0.0684226*VolCO2^2)</f>
        <v>9.2175018700000013</v>
      </c>
      <c r="S49" s="513" t="str">
        <f>IF(Units="metric","Serving Temp (C)","Serving Temp (F)")</f>
        <v>Serving Temp (F)</v>
      </c>
      <c r="T49" s="513"/>
      <c r="U49" s="63">
        <v>34</v>
      </c>
      <c r="V49" s="44"/>
      <c r="W49" s="44"/>
      <c r="X49" s="170"/>
    </row>
    <row r="50" spans="2:24" x14ac:dyDescent="0.25">
      <c r="B50" s="290" t="s">
        <v>1634</v>
      </c>
      <c r="C50" s="507" t="s">
        <v>72</v>
      </c>
      <c r="D50" s="507"/>
    </row>
    <row r="52" spans="2:24" x14ac:dyDescent="0.25">
      <c r="B52" s="11"/>
      <c r="C52" s="11"/>
      <c r="D52" s="11"/>
      <c r="E52" s="11"/>
    </row>
  </sheetData>
  <sheetProtection sheet="1" selectLockedCells="1"/>
  <mergeCells count="56">
    <mergeCell ref="B37:G37"/>
    <mergeCell ref="B41:M41"/>
    <mergeCell ref="B42:M42"/>
    <mergeCell ref="Q1:X2"/>
    <mergeCell ref="C16:H16"/>
    <mergeCell ref="C17:H17"/>
    <mergeCell ref="C14:H14"/>
    <mergeCell ref="C15:H15"/>
    <mergeCell ref="R16:S16"/>
    <mergeCell ref="R13:S13"/>
    <mergeCell ref="R14:S14"/>
    <mergeCell ref="C10:H10"/>
    <mergeCell ref="C11:H11"/>
    <mergeCell ref="R10:S10"/>
    <mergeCell ref="B8:C8"/>
    <mergeCell ref="B1:I2"/>
    <mergeCell ref="R11:S11"/>
    <mergeCell ref="R4:V4"/>
    <mergeCell ref="C12:H12"/>
    <mergeCell ref="C13:H13"/>
    <mergeCell ref="R12:S12"/>
    <mergeCell ref="J4:M4"/>
    <mergeCell ref="R15:S15"/>
    <mergeCell ref="R17:S17"/>
    <mergeCell ref="R18:S18"/>
    <mergeCell ref="C21:H21"/>
    <mergeCell ref="C19:H19"/>
    <mergeCell ref="R19:S19"/>
    <mergeCell ref="R20:S20"/>
    <mergeCell ref="R21:S21"/>
    <mergeCell ref="C18:H18"/>
    <mergeCell ref="C20:H20"/>
    <mergeCell ref="R22:S22"/>
    <mergeCell ref="R23:S23"/>
    <mergeCell ref="R24:S24"/>
    <mergeCell ref="R25:S25"/>
    <mergeCell ref="C26:H26"/>
    <mergeCell ref="C22:H22"/>
    <mergeCell ref="C23:H23"/>
    <mergeCell ref="C24:H24"/>
    <mergeCell ref="C25:H25"/>
    <mergeCell ref="R26:S26"/>
    <mergeCell ref="C50:D50"/>
    <mergeCell ref="W40:X40"/>
    <mergeCell ref="U48:X48"/>
    <mergeCell ref="S49:T49"/>
    <mergeCell ref="V47:W47"/>
    <mergeCell ref="S47:T47"/>
    <mergeCell ref="B48:M48"/>
    <mergeCell ref="B49:M49"/>
    <mergeCell ref="B43:M43"/>
    <mergeCell ref="B44:M44"/>
    <mergeCell ref="B45:M45"/>
    <mergeCell ref="B46:M46"/>
    <mergeCell ref="B47:M47"/>
    <mergeCell ref="Q40:R40"/>
  </mergeCells>
  <phoneticPr fontId="6" type="noConversion"/>
  <dataValidations xWindow="623" yWindow="246" count="20">
    <dataValidation type="list" allowBlank="1" showErrorMessage="1" prompt=" " sqref="B37" xr:uid="{00000000-0002-0000-0000-000000000000}">
      <formula1>Yeast</formula1>
    </dataValidation>
    <dataValidation type="list" allowBlank="1" showErrorMessage="1" promptTitle="Choose a BJCP style" prompt=" " sqref="R4" xr:uid="{00000000-0002-0000-0000-000002000000}">
      <formula1>Styles</formula1>
    </dataValidation>
    <dataValidation type="list" allowBlank="1" showInputMessage="1" showErrorMessage="1" sqref="M5" xr:uid="{00000000-0002-0000-0000-000003000000}">
      <formula1>"US, Metric"</formula1>
    </dataValidation>
    <dataValidation type="list" allowBlank="1" showInputMessage="1" showErrorMessage="1" sqref="M7" xr:uid="{00000000-0002-0000-0000-000006000000}">
      <formula1>"Tinseth,Rager"</formula1>
    </dataValidation>
    <dataValidation type="list" allowBlank="1" showInputMessage="1" showErrorMessage="1" sqref="U48" xr:uid="{00000000-0002-0000-0000-000007000000}">
      <formula1>"Cane or table sugar (sucrose),Corn sugar (glucose/dextrose),DME Munton &amp; Fison (75% AA),DME Northwestern (70% AA),DME Laaglander (55% AA)"</formula1>
    </dataValidation>
    <dataValidation type="list" allowBlank="1" showInputMessage="1" sqref="S47:T47" xr:uid="{00000000-0002-0000-0000-000008000000}">
      <formula1>"Beer Vol (gal),Beer Vol (L)"</formula1>
    </dataValidation>
    <dataValidation type="list" allowBlank="1" showInputMessage="1" sqref="V47:W47" xr:uid="{00000000-0002-0000-0000-000009000000}">
      <formula1>"Beer Temp (F),Beer Temp (C)"</formula1>
    </dataValidation>
    <dataValidation type="list" allowBlank="1" showInputMessage="1" sqref="S49:T49" xr:uid="{00000000-0002-0000-0000-00000A000000}">
      <formula1>"Serving Temp (F),Serving Temp (C)"</formula1>
    </dataValidation>
    <dataValidation type="list" allowBlank="1" showInputMessage="1" sqref="Q48" xr:uid="{00000000-0002-0000-0000-00000B000000}">
      <formula1>"oz sugar,g sugar"</formula1>
    </dataValidation>
    <dataValidation type="list" allowBlank="1" showInputMessage="1" showErrorMessage="1" sqref="V10" xr:uid="{00000000-0002-0000-0000-00000C000000}">
      <formula1>"oz,grams"</formula1>
    </dataValidation>
    <dataValidation type="list" allowBlank="1" showInputMessage="1" sqref="B38" xr:uid="{00000000-0002-0000-0000-00000D000000}">
      <formula1>"Ale,Lager,Hybrid"</formula1>
    </dataValidation>
    <dataValidation type="list" promptTitle="Choose a malt/adjunct" prompt=" " sqref="C11:C26" xr:uid="{00000000-0002-0000-0000-00000E000000}">
      <formula1>INDIRECT(B11)</formula1>
    </dataValidation>
    <dataValidation type="list" promptTitle="Choose a malt/adjunct" prompt=" " sqref="B11:B26" xr:uid="{00000000-0002-0000-0000-00000F000000}">
      <formula1>"Pale,Vienna,Munich,NonBarley,Caramel,Toasted,Roasted,Dextrin,Acid,Flaked,Smoked,Extract,Adjunct"</formula1>
    </dataValidation>
    <dataValidation type="list" allowBlank="1" sqref="X41" xr:uid="{DA2F88CB-D063-4709-AD18-2183851CF16F}">
      <formula1>"Chalk,Lime"</formula1>
    </dataValidation>
    <dataValidation type="list" allowBlank="1" showInputMessage="1" sqref="U11:U26" xr:uid="{00000000-0002-0000-0000-000001000000}">
      <formula1>"Whole, Pellet"</formula1>
    </dataValidation>
    <dataValidation allowBlank="1" showInputMessage="1" sqref="R11:S26" xr:uid="{F3CB6EFE-516C-4F7C-B884-4058621CF4FB}"/>
    <dataValidation type="list" allowBlank="1" showInputMessage="1" sqref="Q11:Q26" xr:uid="{8F6612E7-05B6-4964-A5B6-D17EB4AC0D63}">
      <formula1>"Mash,FWH,Dry Hops,Flame Out"</formula1>
    </dataValidation>
    <dataValidation type="list" allowBlank="1" showInputMessage="1" showErrorMessage="1" sqref="M6" xr:uid="{66D57CCA-0295-4796-82DB-3ABCCC4FB196}">
      <formula1>"Efficiency,Weyermann,Morey,Daniels,Mosher"</formula1>
    </dataValidation>
    <dataValidation type="list" allowBlank="1" showInputMessage="1" showErrorMessage="1" sqref="F5" xr:uid="{F0A8254B-F430-4D0C-9124-F5B50FF591AC}">
      <formula1>"SRM:,EBC:"</formula1>
    </dataValidation>
    <dataValidation type="list" allowBlank="1" showInputMessage="1" showErrorMessage="1" sqref="Q40:R40" xr:uid="{71F6D845-7F4B-4E28-8EE3-212148721697}">
      <formula1>"lactic acid (ml),phosphoric acid (ml)"</formula1>
    </dataValidation>
  </dataValidations>
  <hyperlinks>
    <hyperlink ref="Q4" r:id="rId1" xr:uid="{00000000-0004-0000-0000-000000000000}"/>
    <hyperlink ref="C50:D50" r:id="rId2" display="check for updates" xr:uid="{00000000-0004-0000-0000-000001000000}"/>
  </hyperlinks>
  <printOptions horizontalCentered="1"/>
  <pageMargins left="0.17" right="0.17" top="0.6" bottom="1" header="0.5" footer="0.5"/>
  <pageSetup scale="77"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99"/>
    <pageSetUpPr fitToPage="1"/>
  </sheetPr>
  <dimension ref="A1:Z69"/>
  <sheetViews>
    <sheetView showGridLines="0" showRowColHeaders="0" showZeros="0" zoomScale="85" zoomScaleNormal="85" workbookViewId="0">
      <selection activeCell="C4" sqref="C4:E4"/>
    </sheetView>
  </sheetViews>
  <sheetFormatPr defaultColWidth="9.42578125" defaultRowHeight="15" x14ac:dyDescent="0.25"/>
  <cols>
    <col min="1" max="1" width="3.42578125" style="82" customWidth="1"/>
    <col min="2" max="2" width="13.42578125" style="82" customWidth="1"/>
    <col min="3" max="13" width="9" style="82" customWidth="1"/>
    <col min="14" max="14" width="9" style="139" customWidth="1"/>
    <col min="15" max="15" width="9" style="140" customWidth="1"/>
    <col min="16" max="16" width="9" style="83" customWidth="1"/>
    <col min="17" max="18" width="9" style="82" customWidth="1"/>
    <col min="19" max="19" width="2.7109375" style="82" hidden="1" customWidth="1"/>
    <col min="20" max="20" width="5.42578125" style="82" hidden="1" customWidth="1"/>
    <col min="21" max="21" width="4.42578125" style="82" hidden="1" customWidth="1"/>
    <col min="22" max="22" width="7.42578125" style="82" hidden="1" customWidth="1"/>
    <col min="23" max="23" width="5" style="82" hidden="1" customWidth="1"/>
    <col min="24" max="24" width="4.140625" style="82" hidden="1" customWidth="1"/>
    <col min="25" max="16384" width="9.42578125" style="82"/>
  </cols>
  <sheetData>
    <row r="1" spans="1:26" ht="15.75" customHeight="1" x14ac:dyDescent="0.25">
      <c r="B1" s="587" t="str">
        <f>Recipe!B1</f>
        <v>Harvest Ale</v>
      </c>
      <c r="C1" s="587"/>
      <c r="D1" s="587"/>
      <c r="E1" s="587"/>
      <c r="F1" s="587"/>
      <c r="G1" s="587"/>
      <c r="H1" s="587"/>
      <c r="I1" s="587"/>
      <c r="J1" s="587"/>
      <c r="K1" s="587"/>
      <c r="L1" s="585" t="str">
        <f>Recipe!Q1</f>
        <v>My Cheapo Brewsheet</v>
      </c>
      <c r="M1" s="585"/>
      <c r="N1" s="585"/>
      <c r="O1" s="585"/>
      <c r="P1" s="585"/>
      <c r="Q1" s="585"/>
    </row>
    <row r="2" spans="1:26" ht="15.75" customHeight="1" thickBot="1" x14ac:dyDescent="0.3">
      <c r="B2" s="588"/>
      <c r="C2" s="588"/>
      <c r="D2" s="588"/>
      <c r="E2" s="588"/>
      <c r="F2" s="588"/>
      <c r="G2" s="588"/>
      <c r="H2" s="588"/>
      <c r="I2" s="588"/>
      <c r="J2" s="588"/>
      <c r="K2" s="588"/>
      <c r="L2" s="586"/>
      <c r="M2" s="586"/>
      <c r="N2" s="586"/>
      <c r="O2" s="586"/>
      <c r="P2" s="586"/>
      <c r="Q2" s="586"/>
    </row>
    <row r="3" spans="1:26" ht="3.75" customHeight="1" x14ac:dyDescent="0.25">
      <c r="B3" s="138"/>
      <c r="C3" s="138"/>
      <c r="D3" s="141"/>
      <c r="E3" s="141"/>
      <c r="F3" s="141"/>
      <c r="G3" s="141"/>
      <c r="H3" s="138"/>
      <c r="I3" s="138"/>
      <c r="J3" s="138"/>
      <c r="K3" s="138"/>
      <c r="L3" s="138"/>
      <c r="M3" s="138"/>
      <c r="P3" s="140"/>
      <c r="Q3" s="139"/>
    </row>
    <row r="4" spans="1:26" s="138" customFormat="1" ht="15.75" x14ac:dyDescent="0.25">
      <c r="B4" s="143" t="s">
        <v>5</v>
      </c>
      <c r="C4" s="562"/>
      <c r="D4" s="562"/>
      <c r="E4" s="562"/>
      <c r="F4" s="144"/>
      <c r="K4" s="146"/>
      <c r="L4" s="146"/>
      <c r="R4" s="309"/>
    </row>
    <row r="5" spans="1:26" ht="3.75" customHeight="1" x14ac:dyDescent="0.25">
      <c r="B5" s="132"/>
      <c r="C5" s="132"/>
      <c r="D5" s="137"/>
      <c r="E5" s="137"/>
      <c r="F5" s="132"/>
      <c r="G5" s="132"/>
      <c r="H5" s="101"/>
      <c r="I5" s="101"/>
      <c r="J5" s="101"/>
      <c r="K5" s="101"/>
      <c r="L5" s="101"/>
    </row>
    <row r="6" spans="1:26" ht="18.75" x14ac:dyDescent="0.3">
      <c r="B6" s="136" t="s">
        <v>73</v>
      </c>
      <c r="C6" s="101"/>
      <c r="D6" s="101"/>
      <c r="E6" s="236" t="s">
        <v>23</v>
      </c>
      <c r="F6" s="138"/>
      <c r="G6" s="138"/>
      <c r="H6" s="138"/>
      <c r="I6" s="138"/>
      <c r="J6" s="138"/>
      <c r="K6" s="138"/>
      <c r="L6" s="138"/>
      <c r="M6" s="151" t="s">
        <v>3</v>
      </c>
      <c r="N6" s="569" t="str">
        <f>Recipe!R4</f>
        <v>19 A American Amber Ale</v>
      </c>
      <c r="O6" s="569"/>
      <c r="P6" s="569"/>
      <c r="Q6" s="569"/>
      <c r="R6" s="229"/>
    </row>
    <row r="7" spans="1:26" x14ac:dyDescent="0.25">
      <c r="B7" s="143" t="s">
        <v>8</v>
      </c>
      <c r="C7" s="240">
        <f>IF(OriginalGravity=0,,IF(OriginalGravity=1.000019,,IF(H23=0,,(OriginalGravity-H23)*1.25*1.05)))</f>
        <v>5.7750000000000051E-2</v>
      </c>
      <c r="D7" s="101"/>
      <c r="E7" s="234"/>
      <c r="F7" s="238" t="s">
        <v>39</v>
      </c>
      <c r="G7" s="238" t="s">
        <v>40</v>
      </c>
      <c r="H7" s="238" t="s">
        <v>41</v>
      </c>
      <c r="I7" s="238" t="s">
        <v>42</v>
      </c>
      <c r="J7" s="238" t="s">
        <v>43</v>
      </c>
      <c r="K7" s="238" t="s">
        <v>44</v>
      </c>
      <c r="L7" s="238" t="str">
        <f>Recipe!X41</f>
        <v>Lime</v>
      </c>
      <c r="M7" s="143" t="s">
        <v>9</v>
      </c>
      <c r="N7" s="244" t="str">
        <f>Recipe!R5</f>
        <v>1.045-60</v>
      </c>
      <c r="O7" s="143" t="s">
        <v>7</v>
      </c>
      <c r="P7" s="244" t="str">
        <f>Recipe!T5</f>
        <v>10-17</v>
      </c>
      <c r="Q7" s="143" t="s">
        <v>10</v>
      </c>
    </row>
    <row r="8" spans="1:26" x14ac:dyDescent="0.25">
      <c r="A8" s="101"/>
      <c r="B8" s="143" t="str">
        <f>Recipe!ColorUnits</f>
        <v>SRM:</v>
      </c>
      <c r="C8" s="241">
        <f>IF(OriginalGravity=0,0,IF(Recipe!ColorFormula="Weyermann",(SUM(T31:T46)*(((-463.37)+(668.72*OriginalGravity)-(205.35*(OriginalGravity^2)))/10)+5)*IF(Recipe!ColorUnits="SRM:",0.51,1),IF(Recipe!ColorUnits="SRM:",1,1.97)*(IF(Recipe!ColorFormula="Efficiency",SUM(T31:T46),(IF(Recipe!ColorFormula="Morey",SUM(T31:T46)^0.6859*1.4922,(IF(Recipe!ColorFormula="Daniels",SUM(T31:T46)*0.2+8.4,IF(Recipe!ColorFormula="Mosher",SUM(T31:T46)*0.3+4.7)))))))))</f>
        <v>21.955008025918154</v>
      </c>
      <c r="D8" s="101"/>
      <c r="E8" s="237" t="s">
        <v>48</v>
      </c>
      <c r="F8" s="268">
        <f>Recipe!R44</f>
        <v>4.4000000000000004</v>
      </c>
      <c r="G8" s="269">
        <f>Recipe!S44</f>
        <v>0</v>
      </c>
      <c r="H8" s="269">
        <f>Recipe!T44</f>
        <v>0</v>
      </c>
      <c r="I8" s="269">
        <f>Recipe!U44</f>
        <v>0</v>
      </c>
      <c r="J8" s="269">
        <f>Recipe!V44</f>
        <v>0</v>
      </c>
      <c r="K8" s="269">
        <f>Recipe!W44</f>
        <v>0</v>
      </c>
      <c r="L8" s="270">
        <f>Recipe!X44</f>
        <v>0</v>
      </c>
      <c r="M8" s="143" t="s">
        <v>15</v>
      </c>
      <c r="N8" s="244" t="str">
        <f>Recipe!R6</f>
        <v>1.010-15</v>
      </c>
      <c r="O8" s="143" t="s">
        <v>13</v>
      </c>
      <c r="P8" s="244" t="str">
        <f>Recipe!T6</f>
        <v>25-40</v>
      </c>
      <c r="Q8" s="244" t="str">
        <f>Recipe!V5</f>
        <v>2.2-2.8</v>
      </c>
    </row>
    <row r="9" spans="1:26" ht="15.75" x14ac:dyDescent="0.25">
      <c r="A9" s="101"/>
      <c r="B9" s="143" t="s">
        <v>13</v>
      </c>
      <c r="C9" s="242">
        <f>X46</f>
        <v>49.847611647376489</v>
      </c>
      <c r="D9" s="101"/>
      <c r="E9" s="234"/>
      <c r="F9" s="239" t="s">
        <v>30</v>
      </c>
      <c r="G9" s="239" t="s">
        <v>31</v>
      </c>
      <c r="H9" s="239" t="s">
        <v>32</v>
      </c>
      <c r="I9" s="239" t="s">
        <v>33</v>
      </c>
      <c r="J9" s="239" t="s">
        <v>34</v>
      </c>
      <c r="K9" s="239" t="s">
        <v>35</v>
      </c>
      <c r="L9" s="239" t="s">
        <v>36</v>
      </c>
      <c r="M9" s="143" t="s">
        <v>8</v>
      </c>
      <c r="N9" s="244" t="str">
        <f>Recipe!R7</f>
        <v>4.5-6.2</v>
      </c>
      <c r="O9" s="143" t="s">
        <v>20</v>
      </c>
      <c r="P9" s="245" t="str">
        <f>Recipe!T7</f>
        <v>0.56-0.67</v>
      </c>
      <c r="Q9" s="135"/>
    </row>
    <row r="10" spans="1:26" ht="15.75" x14ac:dyDescent="0.25">
      <c r="B10" s="143" t="s">
        <v>18</v>
      </c>
      <c r="C10" s="242">
        <f>IF(X46=0,,IF(OriginalGravity&lt;1.001,,X46/((OriginalGravity-1)*1000)))</f>
        <v>0.87451950258555333</v>
      </c>
      <c r="D10" s="101"/>
      <c r="E10" s="237" t="s">
        <v>74</v>
      </c>
      <c r="F10" s="268">
        <f>Recipe!R39</f>
        <v>61.530666666666662</v>
      </c>
      <c r="G10" s="269">
        <f>Recipe!S39</f>
        <v>8.3666666666666671</v>
      </c>
      <c r="H10" s="269">
        <f>Recipe!T39</f>
        <v>44.333333333333336</v>
      </c>
      <c r="I10" s="269">
        <f>Recipe!U39</f>
        <v>106.476</v>
      </c>
      <c r="J10" s="269">
        <f>Recipe!V39</f>
        <v>49</v>
      </c>
      <c r="K10" s="269">
        <f>Recipe!W39</f>
        <v>117.69739775587847</v>
      </c>
      <c r="L10" s="270">
        <f>Recipe!X39</f>
        <v>2.1729795918367345</v>
      </c>
      <c r="M10" s="567" t="str">
        <f>Recipe!W40</f>
        <v>Very Bitter</v>
      </c>
      <c r="N10" s="568"/>
      <c r="Q10" s="134"/>
    </row>
    <row r="11" spans="1:26" x14ac:dyDescent="0.25">
      <c r="B11" s="143" t="s">
        <v>19</v>
      </c>
      <c r="C11" s="243">
        <f>IF(H23=0,,IF(OriginalGravity=1.000019,,IF(OriginalGravity=0,,(6.9*(IF(OriginalGravity=1.000019,,IF(H23=0,,((IF(OriginalGravity=0,0.001,(-463.37)+(668.72*OriginalGravity)-(205.35*(OriginalGravity^2))))-(0.1808*(IF(OriginalGravity=0,0.001,(-463.37)+(668.72*OriginalGravity)-(205.35*(OriginalGravity^2))))+0.8192*(IF(G23="FG (SG):",IF(H23=0,0.001,(H23-1 + 0.000856829*(I19/1.04))*1.04/ 0.00349412),0))))/(2.0665-0.010665*(IF(OriginalGravity=0,0.001,(-463.37)+(668.72*OriginalGravity)-(205.35*(OriginalGravity^2)))))/100)))*100+4*((0.1808*(IF(OriginalGravity=0,0.001,(-463.37)+(668.72*OriginalGravity)-(205.35*(OriginalGravity^2))))+0.8192*(IF(G23="FG (SG):",IF(H23=0,0.001,(H23-1 + 0.000856829*(I19/1.04))*1.04/ 0.00349412),0)))-0.1))*3.55*H23)))</f>
        <v>192.77746088271866</v>
      </c>
      <c r="D11" s="101"/>
      <c r="E11" s="485" t="s">
        <v>1645</v>
      </c>
      <c r="F11" s="142" t="s">
        <v>1646</v>
      </c>
      <c r="G11" s="402">
        <v>5.3</v>
      </c>
      <c r="H11" s="580" t="str">
        <f>Recipe!Q40</f>
        <v>lactic acid (ml)</v>
      </c>
      <c r="I11" s="580"/>
      <c r="J11" s="142" t="s">
        <v>1648</v>
      </c>
      <c r="K11" s="489">
        <f>Recipe!T40</f>
        <v>3.6</v>
      </c>
      <c r="L11" s="142" t="s">
        <v>1649</v>
      </c>
      <c r="M11" s="489">
        <f>Recipe!V40</f>
        <v>3</v>
      </c>
    </row>
    <row r="12" spans="1:26" ht="3.75" customHeight="1" x14ac:dyDescent="0.25">
      <c r="B12" s="132"/>
      <c r="C12" s="132"/>
      <c r="D12" s="137"/>
      <c r="E12" s="137"/>
      <c r="F12" s="132"/>
      <c r="G12" s="132"/>
      <c r="H12" s="101"/>
      <c r="I12" s="101"/>
      <c r="J12" s="101"/>
      <c r="K12" s="101"/>
      <c r="L12" s="101"/>
    </row>
    <row r="13" spans="1:26" ht="18.75" x14ac:dyDescent="0.3">
      <c r="B13" s="117" t="s">
        <v>75</v>
      </c>
      <c r="C13" s="101"/>
      <c r="D13" s="101"/>
      <c r="E13" s="101"/>
      <c r="G13" s="117" t="s">
        <v>76</v>
      </c>
      <c r="O13" s="82"/>
      <c r="P13" s="82"/>
    </row>
    <row r="14" spans="1:26" x14ac:dyDescent="0.25">
      <c r="C14" s="133" t="s">
        <v>77</v>
      </c>
      <c r="D14" s="133" t="s">
        <v>78</v>
      </c>
      <c r="E14" s="133" t="s">
        <v>79</v>
      </c>
      <c r="H14" s="563" t="s">
        <v>80</v>
      </c>
      <c r="I14" s="563"/>
      <c r="J14" s="563"/>
      <c r="K14" s="563"/>
      <c r="L14" s="563" t="s">
        <v>81</v>
      </c>
      <c r="M14" s="563"/>
      <c r="N14" s="563"/>
      <c r="O14" s="563" t="s">
        <v>78</v>
      </c>
      <c r="P14" s="563"/>
      <c r="Q14" s="563"/>
      <c r="Z14" s="139"/>
    </row>
    <row r="15" spans="1:26" x14ac:dyDescent="0.25">
      <c r="B15" s="143" t="s">
        <v>82</v>
      </c>
      <c r="C15" s="153">
        <f>Recipe!C31</f>
        <v>154</v>
      </c>
      <c r="D15" s="147">
        <f>Recipe!F31</f>
        <v>8.65</v>
      </c>
      <c r="E15" s="148">
        <v>60</v>
      </c>
      <c r="H15" s="121" t="s">
        <v>0</v>
      </c>
      <c r="I15" s="116" t="s">
        <v>2</v>
      </c>
      <c r="J15" s="116" t="s">
        <v>83</v>
      </c>
      <c r="K15" s="115" t="s">
        <v>84</v>
      </c>
      <c r="L15" s="121" t="s">
        <v>85</v>
      </c>
      <c r="M15" s="116" t="s">
        <v>83</v>
      </c>
      <c r="N15" s="115" t="s">
        <v>84</v>
      </c>
      <c r="O15" s="121" t="s">
        <v>85</v>
      </c>
      <c r="P15" s="116" t="s">
        <v>83</v>
      </c>
      <c r="Q15" s="115" t="s">
        <v>84</v>
      </c>
    </row>
    <row r="16" spans="1:26" x14ac:dyDescent="0.25">
      <c r="B16" s="143" t="s">
        <v>86</v>
      </c>
      <c r="C16" s="154">
        <f>Recipe!C32</f>
        <v>0</v>
      </c>
      <c r="D16" s="128">
        <f>Recipe!F32</f>
        <v>0</v>
      </c>
      <c r="E16" s="149"/>
      <c r="G16" s="401" t="s">
        <v>1039</v>
      </c>
      <c r="H16" s="127">
        <f>1.000019+0.00387863426128*I16</f>
        <v>1.0636286018849921</v>
      </c>
      <c r="I16" s="114">
        <v>16.399999999999999</v>
      </c>
      <c r="J16" s="113">
        <f>IF(P16=0,,IF(OR(Recipe!Mass=0,P16=0),,(SUM(SUMIF(Recipe!B11:B26,{"Pale","Vienna","Munich","NonBarley","Caramel","Toasted","Roasted","Dextrin","Acid","Flaked","Smoked"},Recipe!M11:M26)))*Recipe!Volume/P16)/Recipe!Efficiency*M16+1)</f>
        <v>1.0629659318637275</v>
      </c>
      <c r="K16" s="109">
        <f>IF(I16=0,,IF((H16-1)/(J16-1)-1=0,"Spot On!",(H16-1)/(J16-1)-1))</f>
        <v>1.0524262909326954E-2</v>
      </c>
      <c r="L16" s="130">
        <f>IF(OR(O16=0,Recipe!OriginalGravity=1),,((H16-1)*O16)/(((Recipe!OriginalGravity-1)/Recipe!Efficiency)*Recipe!Volume))</f>
        <v>0.51032487826282669</v>
      </c>
      <c r="M16" s="291">
        <v>0.5</v>
      </c>
      <c r="N16" s="109">
        <f>IF(I16=0,,IF(L16=0,,IF(L16/M16-1=0,"Spot On!",L16/M16-1)))</f>
        <v>2.0649756525653373E-2</v>
      </c>
      <c r="O16" s="129">
        <v>6.3</v>
      </c>
      <c r="P16" s="128">
        <f>Recipe!W30</f>
        <v>6.2375000000000007</v>
      </c>
      <c r="Q16" s="109">
        <f>IF(OR(O16=0,P16=0),,IF(O16=0,,IF(O16/P16-1=0,"Spot On!",O16/P16-1)))</f>
        <v>1.002004008016022E-2</v>
      </c>
    </row>
    <row r="17" spans="2:24" x14ac:dyDescent="0.25">
      <c r="B17" s="143" t="s">
        <v>87</v>
      </c>
      <c r="C17" s="154">
        <f>Recipe!C33</f>
        <v>0</v>
      </c>
      <c r="D17" s="128">
        <f>Recipe!F33</f>
        <v>0</v>
      </c>
      <c r="E17" s="149"/>
      <c r="G17" s="401" t="s">
        <v>1040</v>
      </c>
      <c r="H17" s="127">
        <f>1.000019+0.00387863426128*I17</f>
        <v>1.031823800942496</v>
      </c>
      <c r="I17" s="114">
        <v>8.1999999999999993</v>
      </c>
      <c r="J17" s="113">
        <f>IF(P17=0,,IF(OR(Recipe!Mass=0,P17=0),,(SUM(SUMIF(Recipe!B11:B26,{"Pale","Vienna","Munich","NonBarley","Caramel","Toasted","Roasted","Dextrin","Acid","Flaked","Smoked"},Recipe!M11:M26)))*Recipe!Volume/P17)/Recipe!Efficiency*M17+1)</f>
        <v>1.0324586776859503</v>
      </c>
      <c r="K17" s="109">
        <f>IF(I17=0,,IF((H17-1)/(J17-1)-1=0,"Spot On!",(H17-1)/(J17-1)-1))</f>
        <v>-1.955953811787936E-2</v>
      </c>
      <c r="L17" s="130">
        <f>IF(OR(O17=0,Recipe!OriginalGravity=1),,((H17-1)*O17)/(((Recipe!OriginalGravity-1)/Recipe!Efficiency)*Recipe!Volume))</f>
        <v>0.24308441203688905</v>
      </c>
      <c r="M17" s="291">
        <v>0.25</v>
      </c>
      <c r="N17" s="109">
        <f>IF(I17=0,,IF(L17=0,,IF(L17/M17-1=0,"Spot On!",L17/M17-1)))</f>
        <v>-2.7662351852443812E-2</v>
      </c>
      <c r="O17" s="129">
        <v>6</v>
      </c>
      <c r="P17" s="128">
        <f>Recipe!F34</f>
        <v>6.05</v>
      </c>
      <c r="Q17" s="109">
        <f>IF(OR(O17=0,P17=0),,IF(O17=0,,IF(O17/P17-1=0,"Spot On!",O17/P17-1)))</f>
        <v>-8.2644628099173278E-3</v>
      </c>
    </row>
    <row r="18" spans="2:24" x14ac:dyDescent="0.25">
      <c r="B18" s="143" t="s">
        <v>53</v>
      </c>
      <c r="C18" s="155">
        <f>Recipe!C34</f>
        <v>168</v>
      </c>
      <c r="D18" s="150">
        <f>Recipe!F34</f>
        <v>6.05</v>
      </c>
      <c r="E18" s="307">
        <v>15</v>
      </c>
      <c r="F18" s="557" t="s">
        <v>1041</v>
      </c>
      <c r="G18" s="558"/>
      <c r="H18" s="403">
        <v>1.052</v>
      </c>
      <c r="I18" s="404">
        <f>IF(F18="Pre-boil (SG):",(IF(H18=0,,(H18-1.000019)/0.00387863426128)),0)</f>
        <v>13.401882337533326</v>
      </c>
      <c r="J18" s="113">
        <f>Recipe!C5</f>
        <v>1.0511414038657172</v>
      </c>
      <c r="K18" s="109">
        <f>IF(I18=0,,IF((H18-1)/(J18-1)-1=0,"Spot On!",(H18-1)/(J18-1)-1))</f>
        <v>1.6788669637174625E-2</v>
      </c>
      <c r="L18" s="130">
        <f>IF(OR(O18=0,Recipe!OriginalGravity=1),,((H18-1)*O18)/(((Recipe!OriginalGravity-1)/Recipe!Efficiency)*Recipe!Volume))</f>
        <v>0.81425843411839716</v>
      </c>
      <c r="M18" s="126">
        <f>Recipe!Efficiency</f>
        <v>0.8</v>
      </c>
      <c r="N18" s="109">
        <f>IF(I18=0,,IF(L18=0,,IF(L18/M18-1=0,"Spot On!",L18/M18-1)))</f>
        <v>1.782304264799639E-2</v>
      </c>
      <c r="O18" s="399">
        <f>O16+O17</f>
        <v>12.3</v>
      </c>
      <c r="P18" s="125">
        <f>Recipe!W33</f>
        <v>12.287500000000001</v>
      </c>
      <c r="Q18" s="109">
        <f>IF(OR(O18=0,P18=0),,IF(O18=0,,IF(O18/P18-1=0,"Spot On!",O18/P18-1)))</f>
        <v>1.0172939979653517E-3</v>
      </c>
    </row>
    <row r="19" spans="2:24" x14ac:dyDescent="0.25">
      <c r="E19" s="145"/>
      <c r="G19" s="152" t="s">
        <v>88</v>
      </c>
      <c r="H19" s="405">
        <v>1.0569999999999999</v>
      </c>
      <c r="I19" s="406">
        <f>IF(G19="OG (SG):",(IF(OriginalGravity=0,,(OriginalGravity-1.000019)/0.00387863426128)),0)</f>
        <v>14.690995892248802</v>
      </c>
      <c r="J19" s="124">
        <f>Recipe!OriginalGravity</f>
        <v>1.0571272727272727</v>
      </c>
      <c r="K19" s="118">
        <f>IF((J19-1)=0,,IF(H19=0,,IF((H19-1)/(J19-1)-1=0,"Spot On!",(H19-1)/(J19-1)-1)))</f>
        <v>-2.2278803309998541E-3</v>
      </c>
      <c r="L19" s="287">
        <f>IF(OR(O19=0,Recipe!OriginalGravity=1),,((H19-1)*O19)/(((Recipe!OriginalGravity-1)/Recipe!Efficiency)*Recipe!Volume))</f>
        <v>0.79821769573520018</v>
      </c>
      <c r="M19" s="123">
        <f>Recipe!Efficiency</f>
        <v>0.8</v>
      </c>
      <c r="N19" s="118">
        <f>IF(H19=0,,IF(L19=0,,IF(L19/M19-1=0,"Spot On!",L19/M19-1)))</f>
        <v>-2.2278803309998541E-3</v>
      </c>
      <c r="O19" s="122">
        <v>11</v>
      </c>
      <c r="P19" s="107">
        <f>Recipe!Volume</f>
        <v>11</v>
      </c>
      <c r="Q19" s="118" t="str">
        <f>IF(O19=0,,IF(O19=0,,IF(O19/P19-1=0,"Spot On!",O19/P19-1)))</f>
        <v>Spot On!</v>
      </c>
    </row>
    <row r="20" spans="2:24" ht="3.75" customHeight="1" x14ac:dyDescent="0.25">
      <c r="B20" s="132"/>
      <c r="C20" s="132"/>
      <c r="D20" s="137"/>
      <c r="E20" s="137"/>
      <c r="F20" s="132"/>
      <c r="G20" s="132"/>
      <c r="H20" s="101"/>
      <c r="I20" s="101"/>
      <c r="J20" s="101"/>
      <c r="K20" s="101"/>
      <c r="L20" s="101"/>
    </row>
    <row r="21" spans="2:24" s="138" customFormat="1" ht="18.75" x14ac:dyDescent="0.3">
      <c r="B21" s="117" t="s">
        <v>89</v>
      </c>
      <c r="C21" s="101"/>
      <c r="D21" s="101"/>
      <c r="E21" s="101"/>
      <c r="G21" s="117" t="s">
        <v>90</v>
      </c>
      <c r="H21" s="126"/>
      <c r="I21" s="302"/>
      <c r="J21" s="125"/>
      <c r="K21" s="111"/>
      <c r="L21" s="303"/>
      <c r="M21" s="126"/>
      <c r="Q21" s="82"/>
    </row>
    <row r="22" spans="2:24" s="138" customFormat="1" x14ac:dyDescent="0.25">
      <c r="B22" s="145"/>
      <c r="C22" s="131" t="s">
        <v>85</v>
      </c>
      <c r="D22" s="131" t="s">
        <v>83</v>
      </c>
      <c r="E22" s="131" t="s">
        <v>84</v>
      </c>
      <c r="G22" s="101"/>
      <c r="H22" s="131" t="s">
        <v>0</v>
      </c>
      <c r="I22" s="131" t="s">
        <v>2</v>
      </c>
      <c r="J22" s="131" t="s">
        <v>83</v>
      </c>
      <c r="K22" s="131" t="s">
        <v>84</v>
      </c>
      <c r="N22" s="142" t="s">
        <v>1038</v>
      </c>
      <c r="P22" s="82"/>
      <c r="Q22" s="142" t="s">
        <v>1034</v>
      </c>
    </row>
    <row r="23" spans="2:24" x14ac:dyDescent="0.25">
      <c r="B23" s="143" t="s">
        <v>91</v>
      </c>
      <c r="C23" s="120">
        <f>IF(BoilTime=0,,IF(O19&gt;0,((O18/O19-1)/(BoilTime/60)),))</f>
        <v>0.11818181818181817</v>
      </c>
      <c r="D23" s="119">
        <f>Recipe!S33</f>
        <v>0.1</v>
      </c>
      <c r="E23" s="118">
        <f>IF(D23=0,,IF(C23=0,,IF(C23/D23-1=0,"Spot On!",C23/D23-1)))</f>
        <v>0.18181818181818166</v>
      </c>
      <c r="G23" s="152" t="s">
        <v>92</v>
      </c>
      <c r="H23" s="403">
        <v>1.0129999999999999</v>
      </c>
      <c r="I23" s="404">
        <f>IF(G23="FG (SG):",IF(H23=0,,(H23-1+0.000856829*(I19/1.04))*1.04/0.00349412),0)</f>
        <v>7.471887433562542</v>
      </c>
      <c r="J23" s="113">
        <f>Recipe!C7</f>
        <v>1.0142818181818183</v>
      </c>
      <c r="K23" s="109">
        <f>IF((J23-1)=0,,IF(H23=0,,IF((J23-1)/(H23-1)-1=0,"Spot On!",(J23-1)/(H23-1)-1)))</f>
        <v>9.8601398601414925E-2</v>
      </c>
      <c r="L23" s="560" t="s">
        <v>1042</v>
      </c>
      <c r="M23" s="561"/>
      <c r="N23" s="407">
        <v>60</v>
      </c>
      <c r="O23" s="82"/>
      <c r="P23" s="304" t="s">
        <v>93</v>
      </c>
      <c r="Q23" s="308">
        <v>60</v>
      </c>
    </row>
    <row r="24" spans="2:24" x14ac:dyDescent="0.25">
      <c r="B24" s="143" t="s">
        <v>94</v>
      </c>
      <c r="C24" s="156">
        <v>60</v>
      </c>
      <c r="F24" s="101"/>
      <c r="G24" s="143" t="s">
        <v>21</v>
      </c>
      <c r="H24" s="112">
        <f>IF(OR(H23=0,OriginalGravity=0,OriginalGravity-H23=0),,(H19-H23)/(H19-1))</f>
        <v>0.77192982456140502</v>
      </c>
      <c r="I24" s="111"/>
      <c r="J24" s="110">
        <f>Recipe!J37</f>
        <v>0.75</v>
      </c>
      <c r="K24" s="109">
        <f>IF(OR(J24=0,H24=0,H24=1),,IF((J23-1)/(H24-1)-1=0,"Spot On!",H24/J24-1))</f>
        <v>2.9239766081873286E-2</v>
      </c>
      <c r="M24" s="305" t="s">
        <v>1035</v>
      </c>
      <c r="N24" s="402">
        <v>11.5</v>
      </c>
      <c r="O24" s="559" t="s">
        <v>95</v>
      </c>
      <c r="P24" s="559"/>
      <c r="Q24" s="308">
        <v>180</v>
      </c>
    </row>
    <row r="25" spans="2:24" x14ac:dyDescent="0.25">
      <c r="E25" s="101"/>
      <c r="G25" s="143" t="s">
        <v>96</v>
      </c>
      <c r="H25" s="108">
        <v>67</v>
      </c>
      <c r="I25" s="107"/>
      <c r="J25" s="107"/>
      <c r="K25" s="106"/>
      <c r="M25" s="305" t="s">
        <v>1036</v>
      </c>
      <c r="N25" s="407">
        <v>75</v>
      </c>
      <c r="O25" s="138"/>
      <c r="P25" s="304" t="s">
        <v>97</v>
      </c>
      <c r="Q25" s="301">
        <v>1.022</v>
      </c>
    </row>
    <row r="26" spans="2:24" x14ac:dyDescent="0.25">
      <c r="B26" s="142" t="s">
        <v>98</v>
      </c>
      <c r="C26" s="82" t="str">
        <f ca="1">(IF(SUMIF(Recipe!C11:H26,"*Wheat*",Recipe!L11:L26)&gt;0.1999,2,1))*(ROUND((Volume/31)*(-463.37+(668.72*OriginalGravity)-(205.35*(OriginalGravity^2)))*(10/3),2))&amp;" mL"</f>
        <v>16.61 mL</v>
      </c>
      <c r="G26" s="235" t="s">
        <v>99</v>
      </c>
      <c r="H26" s="573" t="str">
        <f>Recipe!B37</f>
        <v>1056 American Ale</v>
      </c>
      <c r="I26" s="573">
        <f>Recipe!C37</f>
        <v>0</v>
      </c>
      <c r="J26" s="573">
        <f>Recipe!D37</f>
        <v>0</v>
      </c>
      <c r="K26" s="573">
        <f>Recipe!E37</f>
        <v>0</v>
      </c>
      <c r="M26" s="305" t="s">
        <v>1037</v>
      </c>
      <c r="N26" s="400">
        <f>IF(OR(N23=0,N24=0,N25=0),,N24/IF(L23="Wort Temp (°F)",((1.00130346-0.000134722124*N23+0.00000204052596*N23^2-0.00000000232820948*N23^3)/(1.00130346-0.000134722124*N25+0.00000204052596*N25^2-0.00000000232820948*N25^3)),((1.00130346-0.000134722124*((N23*9/5)+32)+0.00000204052596*((N23*9/5)+32)^2-0.00000000232820948*((N23*9/5)+32)^3)/(1.00130346-0.000134722124*((N25*9/5)+32)+0.00000204052596*((N25*9/5)+32)^2-0.00000000232820948*((N25*9/5)+32)^3))))</f>
        <v>11.518765815708612</v>
      </c>
      <c r="O26" s="82"/>
      <c r="P26" s="305" t="s">
        <v>100</v>
      </c>
      <c r="Q26" s="306">
        <f>IF(O24="Wort Temp °F",Q25*((1.00130346-0.000134722124*Q24+0.00000204052596*Q24^2-0.00000000232820948*Q24^3)/(1.00130346-0.000134722124*Q23+0.00000204052596*Q23^2-0.00000000232820948*Q23^3)),Q25*((1.00130346-0.000134722124*((Q24*9/5)+32)+0.00000204052596*((Q24*9/5)+32)^2-0.00000000232820948*((Q24*9/5)+32)^3)/(1.00130346-0.000134722124*((Q23*9/5)+32)+0.00000204052596*((Q23*9/5)+32)^2-0.00000000232820948*((Q23*9/5)+32)^3)))</f>
        <v>1.0521729193316178</v>
      </c>
    </row>
    <row r="27" spans="2:24" x14ac:dyDescent="0.25">
      <c r="H27" s="282" t="str">
        <f>Recipe!B38</f>
        <v>Ale</v>
      </c>
      <c r="I27" s="283"/>
      <c r="J27" s="284" t="s">
        <v>101</v>
      </c>
      <c r="K27" s="285">
        <f>IF(H26=0,,IF(H27="Ale",750000,(IF(H27="Hybrid",1000000,1500000)))*Volume*IF(Recipe!Units="metric",1000,3785.411784)*((-463.37)+(668.72*OriginalGravity)-(205.35*(OriginalGravity^2)))/1000000000)</f>
        <v>438.46293061108997</v>
      </c>
      <c r="N27" s="82"/>
      <c r="O27" s="82"/>
      <c r="P27" s="305"/>
      <c r="Q27" s="400"/>
      <c r="R27" s="138"/>
    </row>
    <row r="28" spans="2:24" ht="3.75" customHeight="1" x14ac:dyDescent="0.25">
      <c r="B28" s="132"/>
      <c r="C28" s="132"/>
      <c r="D28" s="137"/>
      <c r="E28" s="137"/>
      <c r="F28" s="132"/>
      <c r="G28" s="132"/>
      <c r="H28" s="101"/>
      <c r="I28" s="101"/>
      <c r="J28" s="101"/>
      <c r="K28" s="101"/>
      <c r="L28" s="101"/>
    </row>
    <row r="29" spans="2:24" ht="19.5" thickBot="1" x14ac:dyDescent="0.35">
      <c r="B29" s="230" t="s">
        <v>22</v>
      </c>
      <c r="C29" s="105"/>
      <c r="D29" s="105"/>
      <c r="E29" s="105"/>
      <c r="F29" s="104"/>
      <c r="G29" s="104"/>
      <c r="J29" s="101"/>
      <c r="L29" s="231" t="s">
        <v>54</v>
      </c>
      <c r="M29" s="227"/>
      <c r="N29" s="227"/>
      <c r="O29" s="83"/>
      <c r="P29" s="97"/>
    </row>
    <row r="30" spans="2:24" x14ac:dyDescent="0.25">
      <c r="B30" s="570" t="s">
        <v>25</v>
      </c>
      <c r="C30" s="571"/>
      <c r="D30" s="571"/>
      <c r="E30" s="571"/>
      <c r="F30" s="571"/>
      <c r="G30" s="572"/>
      <c r="H30" s="102" t="str">
        <f>Recipe!J10</f>
        <v>lbs</v>
      </c>
      <c r="I30" s="102" t="str">
        <f>Recipe!K10</f>
        <v>oz</v>
      </c>
      <c r="J30" s="102" t="str">
        <f>Recipe!L10</f>
        <v>%</v>
      </c>
      <c r="L30" s="96" t="s">
        <v>56</v>
      </c>
      <c r="M30" s="574" t="s">
        <v>57</v>
      </c>
      <c r="N30" s="575"/>
      <c r="O30" s="576"/>
      <c r="P30" s="96" t="s">
        <v>58</v>
      </c>
      <c r="Q30" s="96" t="str">
        <f>Recipe!HopUnits</f>
        <v>oz</v>
      </c>
      <c r="S30" s="103" t="str">
        <f>Recipe!I10</f>
        <v>°L</v>
      </c>
      <c r="T30" s="102" t="str">
        <f>Recipe!O10</f>
        <v>MCU</v>
      </c>
      <c r="V30" s="96" t="s">
        <v>59</v>
      </c>
      <c r="W30" s="96" t="s">
        <v>61</v>
      </c>
      <c r="X30" s="96" t="s">
        <v>62</v>
      </c>
    </row>
    <row r="31" spans="2:24" x14ac:dyDescent="0.25">
      <c r="B31" s="564" t="str">
        <f>Recipe!C11</f>
        <v>Briess Brewers Malt</v>
      </c>
      <c r="C31" s="565"/>
      <c r="D31" s="565"/>
      <c r="E31" s="565"/>
      <c r="F31" s="565"/>
      <c r="G31" s="566"/>
      <c r="H31" s="100">
        <f>Recipe!J11</f>
        <v>12</v>
      </c>
      <c r="I31" s="100">
        <f>Recipe!K11</f>
        <v>8</v>
      </c>
      <c r="J31" s="277">
        <f>Recipe!L11</f>
        <v>0.5780346820809249</v>
      </c>
      <c r="L31" s="95">
        <f>Recipe!Q11</f>
        <v>60</v>
      </c>
      <c r="M31" s="577" t="str">
        <f>Recipe!R11</f>
        <v>Cascade</v>
      </c>
      <c r="N31" s="578"/>
      <c r="O31" s="579"/>
      <c r="P31" s="91">
        <f>Recipe!T11</f>
        <v>5.7000000000000002E-2</v>
      </c>
      <c r="Q31" s="94">
        <f>Recipe!V11</f>
        <v>4</v>
      </c>
      <c r="S31" s="99">
        <f>Recipe!I11</f>
        <v>1.8</v>
      </c>
      <c r="T31" s="99">
        <f>IF(Volume=0,0,IF(Recipe!ColorFormula="Weyermann",(J31*(S31*1.3564-0.76)*1.97),IF(Recipe!ColorFormula="Efficiency",IF(OR(Recipe!B11="Extract",Recipe!B11="Adjunct"),1,Efficiency),1)*(H31+I31/IF(Recipe!Units="metric",1000,16))*(S31*1.3564-0.76)/Volume*IF(Recipe!Units="metric",3.78541178/0.45359237,1)))</f>
        <v>1.9147944508670522</v>
      </c>
      <c r="V31" s="91" t="str">
        <f>Recipe!U11</f>
        <v>Pellet</v>
      </c>
      <c r="W31" s="89">
        <f>Recipe!W11</f>
        <v>22.8</v>
      </c>
      <c r="X31" s="89">
        <f>IF(OR(Volume=0,OriginalGravity=0),,IF(L31="dry hops",,IF(Recipe!HopCalc="Rager",IF(V31="pellet",1.1,1)*IF(L31="Mash",0.2,1)*IF(L31="FWH",1.1,1)*Q31*P31*1000*IF(Recipe!HopUnits="grams",1,28.349523125)*IF(Recipe!Units="metric",1,0.264172052358)*((18.11+13.86*TANH((IF(OR(L31="FWH",L31="mash"),BoilTime,L31)-31.32)/18.27))/100)/(Volume*(1+(OriginalGravity-1.05)/0.2)),IF(V31="pellet",1.1,1)*IF(L31="Mash",0.2,1)*IF(L31="FWH",1.1,1)*(P31*Q31*1000*IF(Recipe!HopUnits="grams",1,28.349523125)*IF(Recipe!Units="metric",1,0.264172052358)/Volume)*((1-EXP(-0.04*IF(OR(L31="FWH",L31="mash"),BoilTime,L31)))/4.15)*(1.65*0.000125^(OriginalGravity-1)))))</f>
        <v>36.985015892583299</v>
      </c>
    </row>
    <row r="32" spans="2:24" x14ac:dyDescent="0.25">
      <c r="B32" s="554" t="str">
        <f>Recipe!C12</f>
        <v>Briess Wheat Malt</v>
      </c>
      <c r="C32" s="555"/>
      <c r="D32" s="555"/>
      <c r="E32" s="555"/>
      <c r="F32" s="555"/>
      <c r="G32" s="556"/>
      <c r="H32" s="100">
        <f>Recipe!J12</f>
        <v>3</v>
      </c>
      <c r="I32" s="100">
        <f>Recipe!K12</f>
        <v>8</v>
      </c>
      <c r="J32" s="277">
        <f>Recipe!L12</f>
        <v>0.16184971098265896</v>
      </c>
      <c r="L32" s="93">
        <f>Recipe!Q12</f>
        <v>15</v>
      </c>
      <c r="M32" s="551" t="str">
        <f>Recipe!R12</f>
        <v>Cascade</v>
      </c>
      <c r="N32" s="552"/>
      <c r="O32" s="553"/>
      <c r="P32" s="92">
        <f>Recipe!T12</f>
        <v>5.7000000000000002E-2</v>
      </c>
      <c r="Q32" s="90">
        <f>Recipe!V12</f>
        <v>2</v>
      </c>
      <c r="S32" s="99">
        <f>Recipe!I12</f>
        <v>2.5</v>
      </c>
      <c r="T32" s="99">
        <f>IF(Volume=0,0,IF(Recipe!ColorFormula="Weyermann",(J32*(S32*1.3564-0.76)*1.97),IF(Recipe!ColorFormula="Efficiency",IF(OR(Recipe!B12="Extract",Recipe!B12="Adjunct"),1,Efficiency),1)*(H32+I32/IF(Recipe!Units="metric",1000,16))*(S32*1.3564-0.76)/Volume*IF(Recipe!Units="metric",3.78541178/0.45359237,1)))</f>
        <v>0.83887838150289029</v>
      </c>
      <c r="V32" s="91" t="str">
        <f>Recipe!U12</f>
        <v>Pellet</v>
      </c>
      <c r="W32" s="89">
        <f>Recipe!W12</f>
        <v>11.4</v>
      </c>
      <c r="X32" s="89">
        <f>IF(OR(Volume=0,OriginalGravity=0),,IF(L32="dry hops",,IF(Recipe!HopCalc="Rager",IF(V32="pellet",1.1,1)*IF(L32="Mash",0.2,1)*IF(L32="FWH",1.1,1)*Q32*P32*1000*IF(Recipe!HopUnits="grams",1,28.349523125)*IF(Recipe!Units="metric",1,0.264172052358)*((18.11+13.86*TANH((IF(OR(L32="FWH",L32="mash"),BoilTime,L32)-31.32)/18.27))/100)/(Volume*(1+(OriginalGravity-1.05)/0.2)),IF(V32="pellet",1.1,1)*IF(L32="Mash",0.2,1)*IF(L32="FWH",1.1,1)*(P32*Q32*1000*IF(Recipe!HopUnits="grams",1,28.349523125)*IF(Recipe!Units="metric",1,0.264172052358)/Volume)*((1-EXP(-0.04*IF(OR(L32="FWH",L32="mash"),BoilTime,L32)))/4.15)*(1.65*0.000125^(OriginalGravity-1)))))</f>
        <v>9.1760355711292334</v>
      </c>
    </row>
    <row r="33" spans="2:24" x14ac:dyDescent="0.25">
      <c r="B33" s="554" t="str">
        <f>Recipe!C13</f>
        <v>Weyermann CARAMUNICH Type 1</v>
      </c>
      <c r="C33" s="555"/>
      <c r="D33" s="555"/>
      <c r="E33" s="555"/>
      <c r="F33" s="555"/>
      <c r="G33" s="556"/>
      <c r="H33" s="100">
        <f>Recipe!J13</f>
        <v>2</v>
      </c>
      <c r="I33" s="100">
        <f>Recipe!K13</f>
        <v>0</v>
      </c>
      <c r="J33" s="277">
        <f>Recipe!L13</f>
        <v>9.2485549132947972E-2</v>
      </c>
      <c r="L33" s="93">
        <f>Recipe!Q13</f>
        <v>5</v>
      </c>
      <c r="M33" s="551" t="str">
        <f>Recipe!R13</f>
        <v>Cascade</v>
      </c>
      <c r="N33" s="552"/>
      <c r="O33" s="553"/>
      <c r="P33" s="92">
        <f>Recipe!T13</f>
        <v>5.7000000000000002E-2</v>
      </c>
      <c r="Q33" s="90">
        <f>Recipe!V13</f>
        <v>2</v>
      </c>
      <c r="S33" s="99">
        <f>Recipe!I13</f>
        <v>34.5</v>
      </c>
      <c r="T33" s="99">
        <f>IF(Volume=0,0,IF(Recipe!ColorFormula="Weyermann",(J33*(S33*1.3564-0.76)*1.97),IF(Recipe!ColorFormula="Efficiency",IF(OR(Recipe!B13="Extract",Recipe!B13="Adjunct"),1,Efficiency),1)*(H33+I33/IF(Recipe!Units="metric",1000,16))*(S33*1.3564-0.76)/Volume*IF(Recipe!Units="metric",3.78541178/0.45359237,1)))</f>
        <v>8.3875630982658951</v>
      </c>
      <c r="V33" s="91" t="str">
        <f>Recipe!U13</f>
        <v>Pellet</v>
      </c>
      <c r="W33" s="89">
        <f>Recipe!W13</f>
        <v>11.4</v>
      </c>
      <c r="X33" s="89">
        <f>IF(OR(Volume=0,OriginalGravity=0),,IF(L33="dry hops",,IF(Recipe!HopCalc="Rager",IF(V33="pellet",1.1,1)*IF(L33="Mash",0.2,1)*IF(L33="FWH",1.1,1)*Q33*P33*1000*IF(Recipe!HopUnits="grams",1,28.349523125)*IF(Recipe!Units="metric",1,0.264172052358)*((18.11+13.86*TANH((IF(OR(L33="FWH",L33="mash"),BoilTime,L33)-31.32)/18.27))/100)/(Volume*(1+(OriginalGravity-1.05)/0.2)),IF(V33="pellet",1.1,1)*IF(L33="Mash",0.2,1)*IF(L33="FWH",1.1,1)*(P33*Q33*1000*IF(Recipe!HopUnits="grams",1,28.349523125)*IF(Recipe!Units="metric",1,0.264172052358)/Volume)*((1-EXP(-0.04*IF(OR(L33="FWH",L33="mash"),BoilTime,L33)))/4.15)*(1.65*0.000125^(OriginalGravity-1)))))</f>
        <v>3.6865601836639588</v>
      </c>
    </row>
    <row r="34" spans="2:24" x14ac:dyDescent="0.25">
      <c r="B34" s="554" t="str">
        <f>Recipe!C14</f>
        <v>Briess Caramel Malt 120L</v>
      </c>
      <c r="C34" s="555"/>
      <c r="D34" s="555"/>
      <c r="E34" s="555"/>
      <c r="F34" s="555"/>
      <c r="G34" s="556"/>
      <c r="H34" s="100">
        <f>Recipe!J14</f>
        <v>0</v>
      </c>
      <c r="I34" s="100">
        <f>Recipe!K14</f>
        <v>8</v>
      </c>
      <c r="J34" s="277">
        <f>Recipe!L14</f>
        <v>2.3121387283236993E-2</v>
      </c>
      <c r="L34" s="93">
        <f>Recipe!Q14</f>
        <v>0</v>
      </c>
      <c r="M34" s="551">
        <f>Recipe!R14</f>
        <v>0</v>
      </c>
      <c r="N34" s="552"/>
      <c r="O34" s="553"/>
      <c r="P34" s="92">
        <f>Recipe!T14</f>
        <v>0</v>
      </c>
      <c r="Q34" s="90">
        <f>Recipe!V14</f>
        <v>0</v>
      </c>
      <c r="S34" s="99">
        <f>Recipe!I14</f>
        <v>120</v>
      </c>
      <c r="T34" s="99">
        <f>IF(Volume=0,0,IF(Recipe!ColorFormula="Weyermann",(J34*(S34*1.3564-0.76)*1.97),IF(Recipe!ColorFormula="Efficiency",IF(OR(Recipe!B14="Extract",Recipe!B14="Adjunct"),1,Efficiency),1)*(H34+I34/IF(Recipe!Units="metric",1000,16))*(S34*1.3564-0.76)/Volume*IF(Recipe!Units="metric",3.78541178/0.45359237,1)))</f>
        <v>7.3793239306358389</v>
      </c>
      <c r="V34" s="91">
        <f>Recipe!U14</f>
        <v>0</v>
      </c>
      <c r="W34" s="89">
        <f>Recipe!W14</f>
        <v>0</v>
      </c>
      <c r="X34" s="89">
        <f>IF(OR(Volume=0,OriginalGravity=0),,IF(L34="dry hops",,IF(Recipe!HopCalc="Rager",IF(V34="pellet",1.1,1)*IF(L34="Mash",0.2,1)*IF(L34="FWH",1.1,1)*Q34*P34*1000*IF(Recipe!HopUnits="grams",1,28.349523125)*IF(Recipe!Units="metric",1,0.264172052358)*((18.11+13.86*TANH((IF(OR(L34="FWH",L34="mash"),BoilTime,L34)-31.32)/18.27))/100)/(Volume*(1+(OriginalGravity-1.05)/0.2)),IF(V34="pellet",1.1,1)*IF(L34="Mash",0.2,1)*IF(L34="FWH",1.1,1)*(P34*Q34*1000*IF(Recipe!HopUnits="grams",1,28.349523125)*IF(Recipe!Units="metric",1,0.264172052358)/Volume)*((1-EXP(-0.04*IF(OR(L34="FWH",L34="mash"),BoilTime,L34)))/4.15)*(1.65*0.000125^(OriginalGravity-1)))))</f>
        <v>0</v>
      </c>
    </row>
    <row r="35" spans="2:24" x14ac:dyDescent="0.25">
      <c r="B35" s="554" t="str">
        <f>Recipe!C15</f>
        <v>Thomas Fawcett &amp; Sons Ltd Flaked Maize</v>
      </c>
      <c r="C35" s="555"/>
      <c r="D35" s="555"/>
      <c r="E35" s="555"/>
      <c r="F35" s="555"/>
      <c r="G35" s="556"/>
      <c r="H35" s="100">
        <f>Recipe!J15</f>
        <v>2</v>
      </c>
      <c r="I35" s="100">
        <f>Recipe!K15</f>
        <v>0</v>
      </c>
      <c r="J35" s="277">
        <f>Recipe!L15</f>
        <v>9.2485549132947972E-2</v>
      </c>
      <c r="L35" s="93">
        <f>Recipe!Q15</f>
        <v>0</v>
      </c>
      <c r="M35" s="551">
        <f>Recipe!R15</f>
        <v>0</v>
      </c>
      <c r="N35" s="552"/>
      <c r="O35" s="553"/>
      <c r="P35" s="92">
        <f>Recipe!T15</f>
        <v>0</v>
      </c>
      <c r="Q35" s="90">
        <f>Recipe!V15</f>
        <v>0</v>
      </c>
      <c r="S35" s="99">
        <f>Recipe!I15</f>
        <v>2.25</v>
      </c>
      <c r="T35" s="99">
        <f>IF(Volume=0,0,IF(Recipe!ColorFormula="Weyermann",(J35*(S35*1.3564-0.76)*1.97),IF(Recipe!ColorFormula="Efficiency",IF(OR(Recipe!B15="Extract",Recipe!B15="Adjunct"),1,Efficiency),1)*(H35+I35/IF(Recipe!Units="metric",1000,16))*(S35*1.3564-0.76)/Volume*IF(Recipe!Units="metric",3.78541178/0.45359237,1)))</f>
        <v>0.41757623121387283</v>
      </c>
      <c r="V35" s="91">
        <f>Recipe!U15</f>
        <v>0</v>
      </c>
      <c r="W35" s="89">
        <f>Recipe!W15</f>
        <v>0</v>
      </c>
      <c r="X35" s="89">
        <f>IF(OR(Volume=0,OriginalGravity=0),,IF(L35="dry hops",,IF(Recipe!HopCalc="Rager",IF(V35="pellet",1.1,1)*IF(L35="Mash",0.2,1)*IF(L35="FWH",1.1,1)*Q35*P35*1000*IF(Recipe!HopUnits="grams",1,28.349523125)*IF(Recipe!Units="metric",1,0.264172052358)*((18.11+13.86*TANH((IF(OR(L35="FWH",L35="mash"),BoilTime,L35)-31.32)/18.27))/100)/(Volume*(1+(OriginalGravity-1.05)/0.2)),IF(V35="pellet",1.1,1)*IF(L35="Mash",0.2,1)*IF(L35="FWH",1.1,1)*(P35*Q35*1000*IF(Recipe!HopUnits="grams",1,28.349523125)*IF(Recipe!Units="metric",1,0.264172052358)/Volume)*((1-EXP(-0.04*IF(OR(L35="FWH",L35="mash"),BoilTime,L35)))/4.15)*(1.65*0.000125^(OriginalGravity-1)))))</f>
        <v>0</v>
      </c>
    </row>
    <row r="36" spans="2:24" x14ac:dyDescent="0.25">
      <c r="B36" s="554" t="str">
        <f>Recipe!C16</f>
        <v>Malteries Franco-Belges Oatmeal</v>
      </c>
      <c r="C36" s="555"/>
      <c r="D36" s="555"/>
      <c r="E36" s="555"/>
      <c r="F36" s="555"/>
      <c r="G36" s="556"/>
      <c r="H36" s="100">
        <f>Recipe!J16</f>
        <v>1</v>
      </c>
      <c r="I36" s="100">
        <f>Recipe!K16</f>
        <v>0</v>
      </c>
      <c r="J36" s="277">
        <f>Recipe!L16</f>
        <v>4.6242774566473986E-2</v>
      </c>
      <c r="L36" s="93">
        <f>Recipe!Q16</f>
        <v>0</v>
      </c>
      <c r="M36" s="551">
        <f>Recipe!R16</f>
        <v>0</v>
      </c>
      <c r="N36" s="552"/>
      <c r="O36" s="553"/>
      <c r="P36" s="92">
        <f>Recipe!T16</f>
        <v>0</v>
      </c>
      <c r="Q36" s="90">
        <f>Recipe!V16</f>
        <v>0</v>
      </c>
      <c r="S36" s="99">
        <f>Recipe!I16</f>
        <v>1</v>
      </c>
      <c r="T36" s="99">
        <f>IF(Volume=0,0,IF(Recipe!ColorFormula="Weyermann",(J36*(S36*1.3564-0.76)*1.97),IF(Recipe!ColorFormula="Efficiency",IF(OR(Recipe!B16="Extract",Recipe!B16="Adjunct"),1,Efficiency),1)*(H36+I36/IF(Recipe!Units="metric",1000,16))*(S36*1.3564-0.76)/Volume*IF(Recipe!Units="metric",3.78541178/0.45359237,1)))</f>
        <v>5.4331005780346817E-2</v>
      </c>
      <c r="V36" s="91">
        <f>Recipe!U16</f>
        <v>0</v>
      </c>
      <c r="W36" s="89">
        <f>Recipe!W16</f>
        <v>0</v>
      </c>
      <c r="X36" s="89">
        <f>IF(OR(Volume=0,OriginalGravity=0),,IF(L36="dry hops",,IF(Recipe!HopCalc="Rager",IF(V36="pellet",1.1,1)*IF(L36="Mash",0.2,1)*IF(L36="FWH",1.1,1)*Q36*P36*1000*IF(Recipe!HopUnits="grams",1,28.349523125)*IF(Recipe!Units="metric",1,0.264172052358)*((18.11+13.86*TANH((IF(OR(L36="FWH",L36="mash"),BoilTime,L36)-31.32)/18.27))/100)/(Volume*(1+(OriginalGravity-1.05)/0.2)),IF(V36="pellet",1.1,1)*IF(L36="Mash",0.2,1)*IF(L36="FWH",1.1,1)*(P36*Q36*1000*IF(Recipe!HopUnits="grams",1,28.349523125)*IF(Recipe!Units="metric",1,0.264172052358)/Volume)*((1-EXP(-0.04*IF(OR(L36="FWH",L36="mash"),BoilTime,L36)))/4.15)*(1.65*0.000125^(OriginalGravity-1)))))</f>
        <v>0</v>
      </c>
    </row>
    <row r="37" spans="2:24" x14ac:dyDescent="0.25">
      <c r="B37" s="554" t="str">
        <f>Recipe!C17</f>
        <v>Weyermann CARAFA Special Type 3 (dehusked)</v>
      </c>
      <c r="C37" s="555"/>
      <c r="D37" s="555"/>
      <c r="E37" s="555"/>
      <c r="F37" s="555"/>
      <c r="G37" s="556"/>
      <c r="H37" s="100">
        <f>Recipe!J17</f>
        <v>0</v>
      </c>
      <c r="I37" s="100">
        <f>Recipe!K17</f>
        <v>2</v>
      </c>
      <c r="J37" s="277">
        <f>Recipe!L17</f>
        <v>5.7803468208092483E-3</v>
      </c>
      <c r="L37" s="93">
        <f>Recipe!Q17</f>
        <v>0</v>
      </c>
      <c r="M37" s="551">
        <f>Recipe!R17</f>
        <v>0</v>
      </c>
      <c r="N37" s="552"/>
      <c r="O37" s="553"/>
      <c r="P37" s="92">
        <f>Recipe!T17</f>
        <v>0</v>
      </c>
      <c r="Q37" s="90">
        <f>Recipe!V17</f>
        <v>0</v>
      </c>
      <c r="S37" s="99">
        <f>Recipe!I17</f>
        <v>525.5</v>
      </c>
      <c r="T37" s="99">
        <f>IF(Volume=0,0,IF(Recipe!ColorFormula="Weyermann",(J37*(S37*1.3564-0.76)*1.97),IF(Recipe!ColorFormula="Efficiency",IF(OR(Recipe!B17="Extract",Recipe!B17="Adjunct"),1,Efficiency),1)*(H37+I37/IF(Recipe!Units="metric",1000,16))*(S37*1.3564-0.76)/Volume*IF(Recipe!Units="metric",3.78541178/0.45359237,1)))</f>
        <v>8.1080667861271678</v>
      </c>
      <c r="V37" s="91">
        <f>Recipe!U17</f>
        <v>0</v>
      </c>
      <c r="W37" s="89">
        <f>Recipe!W17</f>
        <v>0</v>
      </c>
      <c r="X37" s="89">
        <f>IF(OR(Volume=0,OriginalGravity=0),,IF(L37="dry hops",,IF(Recipe!HopCalc="Rager",IF(V37="pellet",1.1,1)*IF(L37="Mash",0.2,1)*IF(L37="FWH",1.1,1)*Q37*P37*1000*IF(Recipe!HopUnits="grams",1,28.349523125)*IF(Recipe!Units="metric",1,0.264172052358)*((18.11+13.86*TANH((IF(OR(L37="FWH",L37="mash"),BoilTime,L37)-31.32)/18.27))/100)/(Volume*(1+(OriginalGravity-1.05)/0.2)),IF(V37="pellet",1.1,1)*IF(L37="Mash",0.2,1)*IF(L37="FWH",1.1,1)*(P37*Q37*1000*IF(Recipe!HopUnits="grams",1,28.349523125)*IF(Recipe!Units="metric",1,0.264172052358)/Volume)*((1-EXP(-0.04*IF(OR(L37="FWH",L37="mash"),BoilTime,L37)))/4.15)*(1.65*0.000125^(OriginalGravity-1)))))</f>
        <v>0</v>
      </c>
    </row>
    <row r="38" spans="2:24" x14ac:dyDescent="0.25">
      <c r="B38" s="554">
        <f>Recipe!C18</f>
        <v>0</v>
      </c>
      <c r="C38" s="555"/>
      <c r="D38" s="555"/>
      <c r="E38" s="555"/>
      <c r="F38" s="555"/>
      <c r="G38" s="556"/>
      <c r="H38" s="100">
        <f>Recipe!J18</f>
        <v>0</v>
      </c>
      <c r="I38" s="100">
        <f>Recipe!K18</f>
        <v>0</v>
      </c>
      <c r="J38" s="277">
        <f>Recipe!L18</f>
        <v>0</v>
      </c>
      <c r="L38" s="93">
        <f>Recipe!Q18</f>
        <v>0</v>
      </c>
      <c r="M38" s="551">
        <f>Recipe!R18</f>
        <v>0</v>
      </c>
      <c r="N38" s="552"/>
      <c r="O38" s="553"/>
      <c r="P38" s="92">
        <f>Recipe!T18</f>
        <v>0</v>
      </c>
      <c r="Q38" s="90">
        <f>Recipe!V18</f>
        <v>0</v>
      </c>
      <c r="S38" s="99">
        <f>Recipe!I18</f>
        <v>0</v>
      </c>
      <c r="T38" s="99">
        <f>IF(Volume=0,0,IF(Recipe!ColorFormula="Weyermann",(J38*(S38*1.3564-0.76)*1.97),IF(Recipe!ColorFormula="Efficiency",IF(OR(Recipe!B18="Extract",Recipe!B18="Adjunct"),1,Efficiency),1)*(H38+I38/IF(Recipe!Units="metric",1000,16))*(S38*1.3564-0.76)/Volume*IF(Recipe!Units="metric",3.78541178/0.45359237,1)))</f>
        <v>0</v>
      </c>
      <c r="V38" s="91">
        <f>Recipe!U18</f>
        <v>0</v>
      </c>
      <c r="W38" s="89">
        <f>Recipe!W18</f>
        <v>0</v>
      </c>
      <c r="X38" s="89">
        <f>IF(OR(Volume=0,OriginalGravity=0),,IF(L38="dry hops",,IF(Recipe!HopCalc="Rager",IF(V38="pellet",1.1,1)*IF(L38="Mash",0.2,1)*IF(L38="FWH",1.1,1)*Q38*P38*1000*IF(Recipe!HopUnits="grams",1,28.349523125)*IF(Recipe!Units="metric",1,0.264172052358)*((18.11+13.86*TANH((IF(OR(L38="FWH",L38="mash"),BoilTime,L38)-31.32)/18.27))/100)/(Volume*(1+(OriginalGravity-1.05)/0.2)),IF(V38="pellet",1.1,1)*IF(L38="Mash",0.2,1)*IF(L38="FWH",1.1,1)*(P38*Q38*1000*IF(Recipe!HopUnits="grams",1,28.349523125)*IF(Recipe!Units="metric",1,0.264172052358)/Volume)*((1-EXP(-0.04*IF(OR(L38="FWH",L38="mash"),BoilTime,L38)))/4.15)*(1.65*0.000125^(OriginalGravity-1)))))</f>
        <v>0</v>
      </c>
    </row>
    <row r="39" spans="2:24" x14ac:dyDescent="0.25">
      <c r="B39" s="554">
        <f>Recipe!C19</f>
        <v>0</v>
      </c>
      <c r="C39" s="555"/>
      <c r="D39" s="555"/>
      <c r="E39" s="555"/>
      <c r="F39" s="555"/>
      <c r="G39" s="556"/>
      <c r="H39" s="100">
        <f>Recipe!J19</f>
        <v>0</v>
      </c>
      <c r="I39" s="100">
        <f>Recipe!K19</f>
        <v>0</v>
      </c>
      <c r="J39" s="277">
        <f>Recipe!L19</f>
        <v>0</v>
      </c>
      <c r="L39" s="93">
        <f>Recipe!Q19</f>
        <v>0</v>
      </c>
      <c r="M39" s="551">
        <f>Recipe!R19</f>
        <v>0</v>
      </c>
      <c r="N39" s="552"/>
      <c r="O39" s="553"/>
      <c r="P39" s="92">
        <f>Recipe!T19</f>
        <v>0</v>
      </c>
      <c r="Q39" s="90">
        <f>Recipe!V19</f>
        <v>0</v>
      </c>
      <c r="S39" s="99">
        <f>Recipe!I19</f>
        <v>0</v>
      </c>
      <c r="T39" s="99">
        <f>IF(Volume=0,0,IF(Recipe!ColorFormula="Weyermann",(J39*(S39*1.3564-0.76)*1.97),IF(Recipe!ColorFormula="Efficiency",IF(OR(Recipe!B19="Extract",Recipe!B19="Adjunct"),1,Efficiency),1)*(H39+I39/IF(Recipe!Units="metric",1000,16))*(S39*1.3564-0.76)/Volume*IF(Recipe!Units="metric",3.78541178/0.45359237,1)))</f>
        <v>0</v>
      </c>
      <c r="V39" s="91">
        <f>Recipe!U19</f>
        <v>0</v>
      </c>
      <c r="W39" s="89">
        <f>Recipe!W19</f>
        <v>0</v>
      </c>
      <c r="X39" s="89">
        <f>IF(OR(Volume=0,OriginalGravity=0),,IF(L39="dry hops",,IF(Recipe!HopCalc="Rager",IF(V39="pellet",1.1,1)*IF(L39="Mash",0.2,1)*IF(L39="FWH",1.1,1)*Q39*P39*1000*IF(Recipe!HopUnits="grams",1,28.349523125)*IF(Recipe!Units="metric",1,0.264172052358)*((18.11+13.86*TANH((IF(OR(L39="FWH",L39="mash"),BoilTime,L39)-31.32)/18.27))/100)/(Volume*(1+(OriginalGravity-1.05)/0.2)),IF(V39="pellet",1.1,1)*IF(L39="Mash",0.2,1)*IF(L39="FWH",1.1,1)*(P39*Q39*1000*IF(Recipe!HopUnits="grams",1,28.349523125)*IF(Recipe!Units="metric",1,0.264172052358)/Volume)*((1-EXP(-0.04*IF(OR(L39="FWH",L39="mash"),BoilTime,L39)))/4.15)*(1.65*0.000125^(OriginalGravity-1)))))</f>
        <v>0</v>
      </c>
    </row>
    <row r="40" spans="2:24" x14ac:dyDescent="0.25">
      <c r="B40" s="554">
        <f>Recipe!C20</f>
        <v>0</v>
      </c>
      <c r="C40" s="555"/>
      <c r="D40" s="555"/>
      <c r="E40" s="555"/>
      <c r="F40" s="555"/>
      <c r="G40" s="556"/>
      <c r="H40" s="100">
        <f>Recipe!J20</f>
        <v>0</v>
      </c>
      <c r="I40" s="100">
        <f>Recipe!K20</f>
        <v>0</v>
      </c>
      <c r="J40" s="277">
        <f>Recipe!L20</f>
        <v>0</v>
      </c>
      <c r="L40" s="93">
        <f>Recipe!Q20</f>
        <v>0</v>
      </c>
      <c r="M40" s="551">
        <f>Recipe!R20</f>
        <v>0</v>
      </c>
      <c r="N40" s="552"/>
      <c r="O40" s="553"/>
      <c r="P40" s="92">
        <f>Recipe!T20</f>
        <v>0</v>
      </c>
      <c r="Q40" s="90">
        <f>Recipe!V20</f>
        <v>0</v>
      </c>
      <c r="S40" s="99">
        <f>Recipe!I20</f>
        <v>0</v>
      </c>
      <c r="T40" s="99">
        <f>IF(Volume=0,0,IF(Recipe!ColorFormula="Weyermann",(J40*(S40*1.3564-0.76)*1.97),IF(Recipe!ColorFormula="Efficiency",IF(OR(Recipe!B20="Extract",Recipe!B20="Adjunct"),1,Efficiency),1)*(H40+I40/IF(Recipe!Units="metric",1000,16))*(S40*1.3564-0.76)/Volume*IF(Recipe!Units="metric",3.78541178/0.45359237,1)))</f>
        <v>0</v>
      </c>
      <c r="V40" s="91">
        <f>Recipe!U20</f>
        <v>0</v>
      </c>
      <c r="W40" s="89">
        <f>Recipe!W20</f>
        <v>0</v>
      </c>
      <c r="X40" s="89">
        <f>IF(OR(Volume=0,OriginalGravity=0),,IF(L40="dry hops",,IF(Recipe!HopCalc="Rager",IF(V40="pellet",1.1,1)*IF(L40="Mash",0.2,1)*IF(L40="FWH",1.1,1)*Q40*P40*1000*IF(Recipe!HopUnits="grams",1,28.349523125)*IF(Recipe!Units="metric",1,0.264172052358)*((18.11+13.86*TANH((IF(OR(L40="FWH",L40="mash"),BoilTime,L40)-31.32)/18.27))/100)/(Volume*(1+(OriginalGravity-1.05)/0.2)),IF(V40="pellet",1.1,1)*IF(L40="Mash",0.2,1)*IF(L40="FWH",1.1,1)*(P40*Q40*1000*IF(Recipe!HopUnits="grams",1,28.349523125)*IF(Recipe!Units="metric",1,0.264172052358)/Volume)*((1-EXP(-0.04*IF(OR(L40="FWH",L40="mash"),BoilTime,L40)))/4.15)*(1.65*0.000125^(OriginalGravity-1)))))</f>
        <v>0</v>
      </c>
    </row>
    <row r="41" spans="2:24" x14ac:dyDescent="0.25">
      <c r="B41" s="554">
        <f>Recipe!C21</f>
        <v>0</v>
      </c>
      <c r="C41" s="555"/>
      <c r="D41" s="555"/>
      <c r="E41" s="555"/>
      <c r="F41" s="555"/>
      <c r="G41" s="556"/>
      <c r="H41" s="100">
        <f>Recipe!J21</f>
        <v>0</v>
      </c>
      <c r="I41" s="100">
        <f>Recipe!K21</f>
        <v>0</v>
      </c>
      <c r="J41" s="277">
        <f>Recipe!L21</f>
        <v>0</v>
      </c>
      <c r="L41" s="93">
        <f>Recipe!Q21</f>
        <v>0</v>
      </c>
      <c r="M41" s="551">
        <f>Recipe!R21</f>
        <v>0</v>
      </c>
      <c r="N41" s="552"/>
      <c r="O41" s="553"/>
      <c r="P41" s="92">
        <f>Recipe!T21</f>
        <v>0</v>
      </c>
      <c r="Q41" s="90">
        <f>Recipe!V21</f>
        <v>0</v>
      </c>
      <c r="S41" s="99">
        <f>Recipe!I21</f>
        <v>0</v>
      </c>
      <c r="T41" s="99">
        <f>IF(Volume=0,0,IF(Recipe!ColorFormula="Weyermann",(J41*(S41*1.3564-0.76)*1.97),IF(Recipe!ColorFormula="Efficiency",IF(OR(Recipe!B21="Extract",Recipe!B21="Adjunct"),1,Efficiency),1)*(H41+I41/IF(Recipe!Units="metric",1000,16))*(S41*1.3564-0.76)/Volume*IF(Recipe!Units="metric",3.78541178/0.45359237,1)))</f>
        <v>0</v>
      </c>
      <c r="V41" s="91">
        <f>Recipe!U21</f>
        <v>0</v>
      </c>
      <c r="W41" s="89">
        <f>Recipe!W21</f>
        <v>0</v>
      </c>
      <c r="X41" s="89">
        <f>IF(OR(Volume=0,OriginalGravity=0),,IF(L41="dry hops",,IF(Recipe!HopCalc="Rager",IF(V41="pellet",1.1,1)*IF(L41="Mash",0.2,1)*IF(L41="FWH",1.1,1)*Q41*P41*1000*IF(Recipe!HopUnits="grams",1,28.349523125)*IF(Recipe!Units="metric",1,0.264172052358)*((18.11+13.86*TANH((IF(OR(L41="FWH",L41="mash"),BoilTime,L41)-31.32)/18.27))/100)/(Volume*(1+(OriginalGravity-1.05)/0.2)),IF(V41="pellet",1.1,1)*IF(L41="Mash",0.2,1)*IF(L41="FWH",1.1,1)*(P41*Q41*1000*IF(Recipe!HopUnits="grams",1,28.349523125)*IF(Recipe!Units="metric",1,0.264172052358)/Volume)*((1-EXP(-0.04*IF(OR(L41="FWH",L41="mash"),BoilTime,L41)))/4.15)*(1.65*0.000125^(OriginalGravity-1)))))</f>
        <v>0</v>
      </c>
    </row>
    <row r="42" spans="2:24" x14ac:dyDescent="0.25">
      <c r="B42" s="554">
        <f>Recipe!C22</f>
        <v>0</v>
      </c>
      <c r="C42" s="555"/>
      <c r="D42" s="555"/>
      <c r="E42" s="555"/>
      <c r="F42" s="555"/>
      <c r="G42" s="556"/>
      <c r="H42" s="100">
        <f>Recipe!J22</f>
        <v>0</v>
      </c>
      <c r="I42" s="100">
        <f>Recipe!K22</f>
        <v>0</v>
      </c>
      <c r="J42" s="277">
        <f>Recipe!L22</f>
        <v>0</v>
      </c>
      <c r="L42" s="93">
        <f>Recipe!Q22</f>
        <v>0</v>
      </c>
      <c r="M42" s="551">
        <f>Recipe!R22</f>
        <v>0</v>
      </c>
      <c r="N42" s="552"/>
      <c r="O42" s="553"/>
      <c r="P42" s="92">
        <f>Recipe!T22</f>
        <v>0</v>
      </c>
      <c r="Q42" s="90">
        <f>Recipe!V22</f>
        <v>0</v>
      </c>
      <c r="S42" s="99">
        <f>Recipe!I22</f>
        <v>0</v>
      </c>
      <c r="T42" s="99">
        <f>IF(Volume=0,0,IF(Recipe!ColorFormula="Weyermann",(J42*(S42*1.3564-0.76)*1.97),IF(Recipe!ColorFormula="Efficiency",IF(OR(Recipe!B22="Extract",Recipe!B22="Adjunct"),1,Efficiency),1)*(H42+I42/IF(Recipe!Units="metric",1000,16))*(S42*1.3564-0.76)/Volume*IF(Recipe!Units="metric",3.78541178/0.45359237,1)))</f>
        <v>0</v>
      </c>
      <c r="V42" s="91">
        <f>Recipe!U22</f>
        <v>0</v>
      </c>
      <c r="W42" s="89">
        <f>Recipe!W22</f>
        <v>0</v>
      </c>
      <c r="X42" s="89">
        <f>IF(OR(Volume=0,OriginalGravity=0),,IF(L42="dry hops",,IF(Recipe!HopCalc="Rager",IF(V42="pellet",1.1,1)*IF(L42="Mash",0.2,1)*IF(L42="FWH",1.1,1)*Q42*P42*1000*IF(Recipe!HopUnits="grams",1,28.349523125)*IF(Recipe!Units="metric",1,0.264172052358)*((18.11+13.86*TANH((IF(OR(L42="FWH",L42="mash"),BoilTime,L42)-31.32)/18.27))/100)/(Volume*(1+(OriginalGravity-1.05)/0.2)),IF(V42="pellet",1.1,1)*IF(L42="Mash",0.2,1)*IF(L42="FWH",1.1,1)*(P42*Q42*1000*IF(Recipe!HopUnits="grams",1,28.349523125)*IF(Recipe!Units="metric",1,0.264172052358)/Volume)*((1-EXP(-0.04*IF(OR(L42="FWH",L42="mash"),BoilTime,L42)))/4.15)*(1.65*0.000125^(OriginalGravity-1)))))</f>
        <v>0</v>
      </c>
    </row>
    <row r="43" spans="2:24" x14ac:dyDescent="0.25">
      <c r="B43" s="554">
        <f>Recipe!C23</f>
        <v>0</v>
      </c>
      <c r="C43" s="555"/>
      <c r="D43" s="555"/>
      <c r="E43" s="555"/>
      <c r="F43" s="555"/>
      <c r="G43" s="556"/>
      <c r="H43" s="100">
        <f>Recipe!J23</f>
        <v>0</v>
      </c>
      <c r="I43" s="100">
        <f>Recipe!K23</f>
        <v>0</v>
      </c>
      <c r="J43" s="277">
        <f>Recipe!L23</f>
        <v>0</v>
      </c>
      <c r="L43" s="93">
        <f>Recipe!Q23</f>
        <v>0</v>
      </c>
      <c r="M43" s="551">
        <f>Recipe!R23</f>
        <v>0</v>
      </c>
      <c r="N43" s="552"/>
      <c r="O43" s="553"/>
      <c r="P43" s="92">
        <f>Recipe!T23</f>
        <v>0</v>
      </c>
      <c r="Q43" s="90">
        <f>Recipe!V23</f>
        <v>0</v>
      </c>
      <c r="S43" s="99">
        <f>Recipe!I23</f>
        <v>0</v>
      </c>
      <c r="T43" s="99">
        <f>IF(Volume=0,0,IF(Recipe!ColorFormula="Weyermann",(J43*(S43*1.3564-0.76)*1.97),IF(Recipe!ColorFormula="Efficiency",IF(OR(Recipe!B23="Extract",Recipe!B23="Adjunct"),1,Efficiency),1)*(H43+I43/IF(Recipe!Units="metric",1000,16))*(S43*1.3564-0.76)/Volume*IF(Recipe!Units="metric",3.78541178/0.45359237,1)))</f>
        <v>0</v>
      </c>
      <c r="V43" s="91">
        <f>Recipe!U23</f>
        <v>0</v>
      </c>
      <c r="W43" s="89">
        <f>Recipe!W23</f>
        <v>0</v>
      </c>
      <c r="X43" s="89">
        <f>IF(OR(Volume=0,OriginalGravity=0),,IF(L43="dry hops",,IF(Recipe!HopCalc="Rager",IF(V43="pellet",1.1,1)*IF(L43="Mash",0.2,1)*IF(L43="FWH",1.1,1)*Q43*P43*1000*IF(Recipe!HopUnits="grams",1,28.349523125)*IF(Recipe!Units="metric",1,0.264172052358)*((18.11+13.86*TANH((IF(OR(L43="FWH",L43="mash"),BoilTime,L43)-31.32)/18.27))/100)/(Volume*(1+(OriginalGravity-1.05)/0.2)),IF(V43="pellet",1.1,1)*IF(L43="Mash",0.2,1)*IF(L43="FWH",1.1,1)*(P43*Q43*1000*IF(Recipe!HopUnits="grams",1,28.349523125)*IF(Recipe!Units="metric",1,0.264172052358)/Volume)*((1-EXP(-0.04*IF(OR(L43="FWH",L43="mash"),BoilTime,L43)))/4.15)*(1.65*0.000125^(OriginalGravity-1)))))</f>
        <v>0</v>
      </c>
    </row>
    <row r="44" spans="2:24" x14ac:dyDescent="0.25">
      <c r="B44" s="554">
        <f>Recipe!C24</f>
        <v>0</v>
      </c>
      <c r="C44" s="555"/>
      <c r="D44" s="555"/>
      <c r="E44" s="555"/>
      <c r="F44" s="555"/>
      <c r="G44" s="556"/>
      <c r="H44" s="100">
        <f>Recipe!J24</f>
        <v>0</v>
      </c>
      <c r="I44" s="100">
        <f>Recipe!K24</f>
        <v>0</v>
      </c>
      <c r="J44" s="277">
        <f>Recipe!L24</f>
        <v>0</v>
      </c>
      <c r="L44" s="93">
        <f>Recipe!Q24</f>
        <v>0</v>
      </c>
      <c r="M44" s="551">
        <f>Recipe!R24</f>
        <v>0</v>
      </c>
      <c r="N44" s="552"/>
      <c r="O44" s="553"/>
      <c r="P44" s="92">
        <f>Recipe!T24</f>
        <v>0</v>
      </c>
      <c r="Q44" s="90">
        <f>Recipe!V24</f>
        <v>0</v>
      </c>
      <c r="S44" s="99">
        <f>Recipe!I24</f>
        <v>0</v>
      </c>
      <c r="T44" s="99">
        <f>IF(Volume=0,0,IF(Recipe!ColorFormula="Weyermann",(J44*(S44*1.3564-0.76)*1.97),IF(Recipe!ColorFormula="Efficiency",IF(OR(Recipe!B24="Extract",Recipe!B24="Adjunct"),1,Efficiency),1)*(H44+I44/IF(Recipe!Units="metric",1000,16))*(S44*1.3564-0.76)/Volume*IF(Recipe!Units="metric",3.78541178/0.45359237,1)))</f>
        <v>0</v>
      </c>
      <c r="V44" s="91">
        <f>Recipe!U24</f>
        <v>0</v>
      </c>
      <c r="W44" s="89">
        <f>Recipe!W24</f>
        <v>0</v>
      </c>
      <c r="X44" s="89">
        <f>IF(OR(Volume=0,OriginalGravity=0),,IF(L44="dry hops",,IF(Recipe!HopCalc="Rager",IF(V44="pellet",1.1,1)*IF(L44="Mash",0.2,1)*IF(L44="FWH",1.1,1)*Q44*P44*1000*IF(Recipe!HopUnits="grams",1,28.349523125)*IF(Recipe!Units="metric",1,0.264172052358)*((18.11+13.86*TANH((IF(OR(L44="FWH",L44="mash"),BoilTime,L44)-31.32)/18.27))/100)/(Volume*(1+(OriginalGravity-1.05)/0.2)),IF(V44="pellet",1.1,1)*IF(L44="Mash",0.2,1)*IF(L44="FWH",1.1,1)*(P44*Q44*1000*IF(Recipe!HopUnits="grams",1,28.349523125)*IF(Recipe!Units="metric",1,0.264172052358)/Volume)*((1-EXP(-0.04*IF(OR(L44="FWH",L44="mash"),BoilTime,L44)))/4.15)*(1.65*0.000125^(OriginalGravity-1)))))</f>
        <v>0</v>
      </c>
    </row>
    <row r="45" spans="2:24" x14ac:dyDescent="0.25">
      <c r="B45" s="554">
        <f>Recipe!C25</f>
        <v>0</v>
      </c>
      <c r="C45" s="555"/>
      <c r="D45" s="555"/>
      <c r="E45" s="555"/>
      <c r="F45" s="555"/>
      <c r="G45" s="556"/>
      <c r="H45" s="100">
        <f>Recipe!J25</f>
        <v>0</v>
      </c>
      <c r="I45" s="100">
        <f>Recipe!K25</f>
        <v>0</v>
      </c>
      <c r="J45" s="277">
        <f>Recipe!L25</f>
        <v>0</v>
      </c>
      <c r="L45" s="93">
        <f>Recipe!Q26</f>
        <v>0</v>
      </c>
      <c r="M45" s="582">
        <f>Recipe!R26</f>
        <v>0</v>
      </c>
      <c r="N45" s="583"/>
      <c r="O45" s="584"/>
      <c r="P45" s="92">
        <f>Recipe!T26</f>
        <v>0</v>
      </c>
      <c r="Q45" s="90">
        <f>Recipe!V26</f>
        <v>0</v>
      </c>
      <c r="S45" s="99">
        <f>Recipe!I25</f>
        <v>0</v>
      </c>
      <c r="T45" s="99">
        <f>IF(Volume=0,0,IF(Recipe!ColorFormula="Weyermann",(J45*(S45*1.3564-0.76)*1.97),IF(Recipe!ColorFormula="Efficiency",IF(OR(Recipe!B25="Extract",Recipe!B25="Adjunct"),1,Efficiency),1)*(H45+I45/IF(Recipe!Units="metric",1000,16))*(S45*1.3564-0.76)/Volume*IF(Recipe!Units="metric",3.78541178/0.45359237,1)))</f>
        <v>0</v>
      </c>
      <c r="V45" s="91">
        <f>Recipe!U26</f>
        <v>0</v>
      </c>
      <c r="W45" s="89">
        <f>Recipe!W26</f>
        <v>0</v>
      </c>
      <c r="X45" s="89">
        <f>IF(OR(Volume=0,OriginalGravity=0),,IF(L45="dry hops",,IF(Recipe!HopCalc="Rager",IF(V45="pellet",1.1,1)*IF(L45="Mash",0.2,1)*IF(L45="FWH",1.1,1)*Q45*P45*1000*IF(Recipe!HopUnits="grams",1,28.349523125)*IF(Recipe!Units="metric",1,0.264172052358)*((18.11+13.86*TANH((IF(OR(L45="FWH",L45="mash"),BoilTime,L45)-31.32)/18.27))/100)/(Volume*(1+(OriginalGravity-1.05)/0.2)),IF(V45="pellet",1.1,1)*IF(L45="Mash",0.2,1)*IF(L45="FWH",1.1,1)*(P45*Q45*1000*IF(Recipe!HopUnits="grams",1,28.349523125)*IF(Recipe!Units="metric",1,0.264172052358)/Volume)*((1-EXP(-0.04*IF(OR(L45="FWH",L45="mash"),BoilTime,L45)))/4.15)*(1.65*0.000125^(OriginalGravity-1)))))</f>
        <v>0</v>
      </c>
    </row>
    <row r="46" spans="2:24" ht="15.75" thickBot="1" x14ac:dyDescent="0.3">
      <c r="B46" s="589">
        <f>Recipe!C26</f>
        <v>0</v>
      </c>
      <c r="C46" s="590"/>
      <c r="D46" s="590"/>
      <c r="E46" s="590"/>
      <c r="F46" s="590"/>
      <c r="G46" s="591"/>
      <c r="H46" s="226">
        <f>Recipe!J26</f>
        <v>0</v>
      </c>
      <c r="I46" s="226">
        <f>Recipe!K26</f>
        <v>0</v>
      </c>
      <c r="J46" s="277">
        <f>Recipe!L26</f>
        <v>0</v>
      </c>
      <c r="L46" s="88"/>
      <c r="M46" s="87"/>
      <c r="N46" s="228"/>
      <c r="O46" s="228"/>
      <c r="P46" s="85"/>
      <c r="Q46" s="84">
        <f>SUM(Q31:Q45)</f>
        <v>8</v>
      </c>
      <c r="S46" s="99">
        <f>Recipe!I26</f>
        <v>0</v>
      </c>
      <c r="T46" s="99">
        <f>IF(Volume=0,0,IF(Recipe!ColorFormula="Weyermann",(J46*(S46*1.3564-0.76)*1.97),IF(Recipe!ColorFormula="Efficiency",IF(OR(Recipe!B26="Extract",Recipe!B26="Adjunct"),1,Efficiency),1)*(H46+I46/IF(Recipe!Units="metric",1000,16))*(S46*1.3564-0.76)/Volume*IF(Recipe!Units="metric",3.78541178/0.45359237,1)))</f>
        <v>0</v>
      </c>
      <c r="V46" s="86" t="s">
        <v>55</v>
      </c>
      <c r="W46" s="85">
        <f>SUM(W31:W45)</f>
        <v>45.6</v>
      </c>
      <c r="X46" s="84">
        <f>SUM(X31:X45)</f>
        <v>49.847611647376489</v>
      </c>
    </row>
    <row r="47" spans="2:24" ht="15.75" thickBot="1" x14ac:dyDescent="0.3">
      <c r="B47" s="265"/>
      <c r="C47" s="266"/>
      <c r="D47" s="266"/>
      <c r="E47" s="266"/>
      <c r="F47" s="266"/>
      <c r="G47" s="276" t="str">
        <f>Recipe!J27</f>
        <v>Total Fermentables (lbs):</v>
      </c>
      <c r="H47" s="266">
        <f>SUM(H31:H46)+SUM(I31:I46)/IF(Recipe!Units="metric",1000,16)</f>
        <v>21.625</v>
      </c>
      <c r="I47" s="266"/>
      <c r="J47" s="267"/>
      <c r="N47" s="82"/>
      <c r="O47" s="82"/>
      <c r="P47" s="82"/>
    </row>
    <row r="48" spans="2:24" ht="18.75" x14ac:dyDescent="0.3">
      <c r="B48" s="232" t="s">
        <v>102</v>
      </c>
      <c r="C48" s="98"/>
      <c r="D48" s="98"/>
      <c r="E48" s="98"/>
      <c r="F48" s="98"/>
      <c r="G48" s="98"/>
      <c r="P48" s="82"/>
    </row>
    <row r="49" spans="2:10" x14ac:dyDescent="0.25">
      <c r="B49" s="581">
        <f>Recipe!B41</f>
        <v>0</v>
      </c>
      <c r="C49" s="581"/>
      <c r="D49" s="581"/>
      <c r="E49" s="581"/>
      <c r="F49" s="581"/>
      <c r="G49" s="581"/>
      <c r="H49" s="581"/>
      <c r="I49" s="581"/>
      <c r="J49" s="581"/>
    </row>
    <row r="50" spans="2:10" x14ac:dyDescent="0.25">
      <c r="B50" s="581">
        <f>Recipe!B42</f>
        <v>0</v>
      </c>
      <c r="C50" s="581"/>
      <c r="D50" s="581"/>
      <c r="E50" s="581"/>
      <c r="F50" s="581"/>
      <c r="G50" s="581"/>
      <c r="H50" s="581"/>
      <c r="I50" s="581"/>
      <c r="J50" s="581"/>
    </row>
    <row r="51" spans="2:10" x14ac:dyDescent="0.25">
      <c r="B51" s="581">
        <f>Recipe!B43</f>
        <v>0</v>
      </c>
      <c r="C51" s="581"/>
      <c r="D51" s="581"/>
      <c r="E51" s="581"/>
      <c r="F51" s="581"/>
      <c r="G51" s="581"/>
      <c r="H51" s="581"/>
      <c r="I51" s="581"/>
      <c r="J51" s="581"/>
    </row>
    <row r="52" spans="2:10" x14ac:dyDescent="0.25">
      <c r="B52" s="581">
        <f>Recipe!B44</f>
        <v>0</v>
      </c>
      <c r="C52" s="581"/>
      <c r="D52" s="581"/>
      <c r="E52" s="581"/>
      <c r="F52" s="581"/>
      <c r="G52" s="581"/>
      <c r="H52" s="581"/>
      <c r="I52" s="581"/>
      <c r="J52" s="581"/>
    </row>
    <row r="53" spans="2:10" x14ac:dyDescent="0.25">
      <c r="B53" s="581">
        <f>Recipe!B45</f>
        <v>0</v>
      </c>
      <c r="C53" s="581"/>
      <c r="D53" s="581"/>
      <c r="E53" s="581"/>
      <c r="F53" s="581"/>
      <c r="G53" s="581"/>
      <c r="H53" s="581"/>
      <c r="I53" s="581"/>
      <c r="J53" s="581"/>
    </row>
    <row r="54" spans="2:10" x14ac:dyDescent="0.25">
      <c r="B54" s="581">
        <f>Recipe!B46</f>
        <v>0</v>
      </c>
      <c r="C54" s="581"/>
      <c r="D54" s="581"/>
      <c r="E54" s="581"/>
      <c r="F54" s="581"/>
      <c r="G54" s="581"/>
      <c r="H54" s="581"/>
      <c r="I54" s="581"/>
      <c r="J54" s="581"/>
    </row>
    <row r="55" spans="2:10" x14ac:dyDescent="0.25">
      <c r="B55" s="581">
        <f>Recipe!B47</f>
        <v>0</v>
      </c>
      <c r="C55" s="581"/>
      <c r="D55" s="581"/>
      <c r="E55" s="581"/>
      <c r="F55" s="581"/>
      <c r="G55" s="581"/>
      <c r="H55" s="581"/>
      <c r="I55" s="581"/>
      <c r="J55" s="581"/>
    </row>
    <row r="56" spans="2:10" s="138" customFormat="1" x14ac:dyDescent="0.25">
      <c r="B56" s="581">
        <f>Recipe!B48</f>
        <v>0</v>
      </c>
      <c r="C56" s="581"/>
      <c r="D56" s="581"/>
      <c r="E56" s="581"/>
      <c r="F56" s="581"/>
      <c r="G56" s="581"/>
      <c r="H56" s="581"/>
      <c r="I56" s="581"/>
      <c r="J56" s="581"/>
    </row>
    <row r="57" spans="2:10" s="138" customFormat="1" x14ac:dyDescent="0.25">
      <c r="B57" s="581">
        <f>Recipe!B49</f>
        <v>0</v>
      </c>
      <c r="C57" s="581"/>
      <c r="D57" s="581"/>
      <c r="E57" s="581"/>
      <c r="F57" s="581"/>
      <c r="G57" s="581"/>
      <c r="H57" s="581"/>
      <c r="I57" s="581"/>
      <c r="J57" s="581"/>
    </row>
    <row r="58" spans="2:10" s="138" customFormat="1" x14ac:dyDescent="0.25"/>
    <row r="59" spans="2:10" s="138" customFormat="1" x14ac:dyDescent="0.25"/>
    <row r="60" spans="2:10" s="138" customFormat="1" x14ac:dyDescent="0.25"/>
    <row r="61" spans="2:10" s="138" customFormat="1" x14ac:dyDescent="0.25"/>
    <row r="62" spans="2:10" s="138" customFormat="1" x14ac:dyDescent="0.25"/>
    <row r="63" spans="2:10" s="138" customFormat="1" x14ac:dyDescent="0.25"/>
    <row r="64" spans="2:10" s="138" customFormat="1" x14ac:dyDescent="0.25"/>
    <row r="65" spans="14:16" s="138" customFormat="1" x14ac:dyDescent="0.25">
      <c r="N65" s="139"/>
      <c r="O65" s="140"/>
      <c r="P65" s="233"/>
    </row>
    <row r="66" spans="14:16" s="138" customFormat="1" x14ac:dyDescent="0.25">
      <c r="N66" s="139"/>
      <c r="O66" s="140"/>
      <c r="P66" s="233"/>
    </row>
    <row r="67" spans="14:16" s="138" customFormat="1" x14ac:dyDescent="0.25">
      <c r="N67" s="139"/>
      <c r="O67" s="140"/>
      <c r="P67" s="233"/>
    </row>
    <row r="68" spans="14:16" s="138" customFormat="1" x14ac:dyDescent="0.25">
      <c r="N68" s="139"/>
      <c r="O68" s="140"/>
      <c r="P68" s="233"/>
    </row>
    <row r="69" spans="14:16" s="138" customFormat="1" x14ac:dyDescent="0.25">
      <c r="N69" s="139"/>
      <c r="O69" s="140"/>
      <c r="P69" s="233"/>
    </row>
  </sheetData>
  <sheetProtection sheet="1" selectLockedCells="1"/>
  <mergeCells count="55">
    <mergeCell ref="L1:Q2"/>
    <mergeCell ref="B1:K2"/>
    <mergeCell ref="B57:J57"/>
    <mergeCell ref="M38:O38"/>
    <mergeCell ref="M39:O39"/>
    <mergeCell ref="M40:O40"/>
    <mergeCell ref="M41:O41"/>
    <mergeCell ref="B54:J54"/>
    <mergeCell ref="B49:J49"/>
    <mergeCell ref="B50:J50"/>
    <mergeCell ref="B51:J51"/>
    <mergeCell ref="B52:J52"/>
    <mergeCell ref="B46:G46"/>
    <mergeCell ref="B53:J53"/>
    <mergeCell ref="B38:G38"/>
    <mergeCell ref="B42:G42"/>
    <mergeCell ref="B55:J55"/>
    <mergeCell ref="B56:J56"/>
    <mergeCell ref="B40:G40"/>
    <mergeCell ref="M37:O37"/>
    <mergeCell ref="B43:G43"/>
    <mergeCell ref="B41:G41"/>
    <mergeCell ref="B45:G45"/>
    <mergeCell ref="M42:O42"/>
    <mergeCell ref="M43:O43"/>
    <mergeCell ref="M44:O44"/>
    <mergeCell ref="M45:O45"/>
    <mergeCell ref="B44:G44"/>
    <mergeCell ref="B39:G39"/>
    <mergeCell ref="B37:G37"/>
    <mergeCell ref="C4:E4"/>
    <mergeCell ref="H14:K14"/>
    <mergeCell ref="L14:N14"/>
    <mergeCell ref="O14:Q14"/>
    <mergeCell ref="B31:G31"/>
    <mergeCell ref="M10:N10"/>
    <mergeCell ref="N6:Q6"/>
    <mergeCell ref="B30:G30"/>
    <mergeCell ref="H26:K26"/>
    <mergeCell ref="M30:O30"/>
    <mergeCell ref="M31:O31"/>
    <mergeCell ref="H11:I11"/>
    <mergeCell ref="M36:O36"/>
    <mergeCell ref="B36:G36"/>
    <mergeCell ref="F18:G18"/>
    <mergeCell ref="O24:P24"/>
    <mergeCell ref="L23:M23"/>
    <mergeCell ref="M35:O35"/>
    <mergeCell ref="B32:G32"/>
    <mergeCell ref="B33:G33"/>
    <mergeCell ref="B34:G34"/>
    <mergeCell ref="B35:G35"/>
    <mergeCell ref="M32:O32"/>
    <mergeCell ref="M33:O33"/>
    <mergeCell ref="M34:O34"/>
  </mergeCells>
  <conditionalFormatting sqref="H19">
    <cfRule type="expression" dxfId="5" priority="4">
      <formula>G19="OG (SG):"</formula>
    </cfRule>
  </conditionalFormatting>
  <conditionalFormatting sqref="I19">
    <cfRule type="expression" dxfId="4" priority="3">
      <formula>G19="OG (Brix):"</formula>
    </cfRule>
  </conditionalFormatting>
  <conditionalFormatting sqref="H18">
    <cfRule type="expression" dxfId="3" priority="7">
      <formula>F18="Pre-boil (SG):"</formula>
    </cfRule>
  </conditionalFormatting>
  <conditionalFormatting sqref="I18">
    <cfRule type="expression" dxfId="2" priority="8">
      <formula>F18="Pre-boil (Brix):"</formula>
    </cfRule>
  </conditionalFormatting>
  <conditionalFormatting sqref="H23">
    <cfRule type="expression" dxfId="1" priority="1">
      <formula>G23="FG (SG):"</formula>
    </cfRule>
  </conditionalFormatting>
  <conditionalFormatting sqref="I23">
    <cfRule type="expression" dxfId="0" priority="2">
      <formula>G23="FG (Brix):"</formula>
    </cfRule>
  </conditionalFormatting>
  <dataValidations count="9">
    <dataValidation type="list" allowBlank="1" showInputMessage="1" showErrorMessage="1" sqref="G23" xr:uid="{00000000-0002-0000-0100-000000000000}">
      <formula1>"FG (SG):,FG (Brix):"</formula1>
    </dataValidation>
    <dataValidation type="list" allowBlank="1" showInputMessage="1" showErrorMessage="1" sqref="G19" xr:uid="{00000000-0002-0000-0100-000001000000}">
      <formula1>"OG (SG):,OG (Brix):"</formula1>
    </dataValidation>
    <dataValidation type="list" allowBlank="1" showInputMessage="1" sqref="H27" xr:uid="{00000000-0002-0000-0100-000002000000}">
      <formula1>"Ale,Lager,Hybrid"</formula1>
    </dataValidation>
    <dataValidation allowBlank="1" showErrorMessage="1" prompt=" " sqref="H26:K26" xr:uid="{00000000-0002-0000-0100-000003000000}"/>
    <dataValidation type="list" allowBlank="1" sqref="L7" xr:uid="{8FE42F4E-9DBB-4F08-B31C-ECE992F5C019}">
      <formula1>"Chalk,Lime"</formula1>
    </dataValidation>
    <dataValidation type="list" allowBlank="1" showInputMessage="1" showErrorMessage="1" sqref="O24" xr:uid="{E06E19DF-C166-4CB9-9EC2-A105FCE0C0BF}">
      <formula1>"Wort Temp °F,Wort Temp °C"</formula1>
    </dataValidation>
    <dataValidation type="list" allowBlank="1" showInputMessage="1" showErrorMessage="1" sqref="F18" xr:uid="{904C9F5B-DF97-4A4D-821A-30E9487B83E9}">
      <formula1>"Pre-boil (SG):,Pre-boil (Brix):"</formula1>
    </dataValidation>
    <dataValidation type="list" allowBlank="1" showInputMessage="1" showErrorMessage="1" sqref="L23" xr:uid="{C72BD9C9-AF33-499F-B732-8B06B112223F}">
      <formula1>"Wort Temp (°F),Wort Temp (°C)"</formula1>
    </dataValidation>
    <dataValidation type="list" allowBlank="1" showInputMessage="1" showErrorMessage="1" sqref="H11:I11" xr:uid="{67F63E42-CCE7-49EC-A03E-D8E78E5AC56A}">
      <formula1>"lactic acid (ml),phosphoric acid (ml)"</formula1>
    </dataValidation>
  </dataValidations>
  <hyperlinks>
    <hyperlink ref="M6" r:id="rId1" xr:uid="{00000000-0004-0000-0100-000000000000}"/>
  </hyperlinks>
  <pageMargins left="0.7" right="0.7" top="0.75" bottom="0.75" header="0.3" footer="0.3"/>
  <pageSetup scale="61"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pageSetUpPr fitToPage="1"/>
  </sheetPr>
  <dimension ref="A1:AH49"/>
  <sheetViews>
    <sheetView showGridLines="0" showRowColHeaders="0" showZeros="0" zoomScale="85" zoomScaleNormal="85" workbookViewId="0">
      <selection activeCell="K5" sqref="K5"/>
    </sheetView>
  </sheetViews>
  <sheetFormatPr defaultColWidth="9.42578125" defaultRowHeight="15" x14ac:dyDescent="0.25"/>
  <cols>
    <col min="1" max="1" width="3.42578125" style="8" customWidth="1"/>
    <col min="2" max="2" width="12.5703125" style="8" customWidth="1"/>
    <col min="3" max="12" width="9.42578125" style="8" customWidth="1"/>
    <col min="13" max="13" width="10.140625" style="8" bestFit="1" customWidth="1"/>
    <col min="14" max="14" width="9.140625" style="8" hidden="1" customWidth="1"/>
    <col min="15" max="15" width="6.42578125" style="8" hidden="1" customWidth="1"/>
    <col min="16" max="16" width="3.42578125" style="8" customWidth="1"/>
    <col min="17" max="17" width="11.42578125" style="8" customWidth="1"/>
    <col min="18" max="18" width="8.42578125" style="8" customWidth="1"/>
    <col min="19" max="20" width="8.42578125" style="9" customWidth="1"/>
    <col min="21" max="24" width="8.42578125" style="8" customWidth="1"/>
    <col min="25" max="16384" width="9.42578125" style="8"/>
  </cols>
  <sheetData>
    <row r="1" spans="1:24" ht="15.75" customHeight="1" x14ac:dyDescent="0.45">
      <c r="B1" s="611" t="str">
        <f>Recipe!B1</f>
        <v>Harvest Ale</v>
      </c>
      <c r="C1" s="611"/>
      <c r="D1" s="611"/>
      <c r="E1" s="611"/>
      <c r="F1" s="611"/>
      <c r="G1" s="611"/>
      <c r="H1" s="611"/>
      <c r="I1" s="611"/>
      <c r="J1" s="410"/>
      <c r="K1" s="410"/>
      <c r="L1" s="410"/>
      <c r="M1" s="410"/>
      <c r="N1" s="410"/>
      <c r="O1" s="410"/>
      <c r="P1" s="410"/>
      <c r="Q1" s="613" t="str">
        <f>Recipe!Q1</f>
        <v>My Cheapo Brewsheet</v>
      </c>
      <c r="R1" s="613"/>
      <c r="S1" s="613"/>
      <c r="T1" s="613"/>
      <c r="U1" s="613"/>
      <c r="V1" s="613"/>
      <c r="W1" s="613"/>
      <c r="X1" s="613"/>
    </row>
    <row r="2" spans="1:24" ht="15.75" customHeight="1" thickBot="1" x14ac:dyDescent="0.5">
      <c r="B2" s="612"/>
      <c r="C2" s="612"/>
      <c r="D2" s="612"/>
      <c r="E2" s="612"/>
      <c r="F2" s="612"/>
      <c r="G2" s="612"/>
      <c r="H2" s="612"/>
      <c r="I2" s="612"/>
      <c r="J2" s="411"/>
      <c r="K2" s="411"/>
      <c r="L2" s="411"/>
      <c r="M2" s="411"/>
      <c r="N2" s="411"/>
      <c r="O2" s="411"/>
      <c r="P2" s="411"/>
      <c r="Q2" s="614"/>
      <c r="R2" s="614"/>
      <c r="S2" s="614"/>
      <c r="T2" s="614"/>
      <c r="U2" s="614"/>
      <c r="V2" s="614"/>
      <c r="W2" s="614"/>
      <c r="X2" s="614"/>
    </row>
    <row r="3" spans="1:24" ht="4.5" customHeight="1" x14ac:dyDescent="0.45">
      <c r="B3" s="180"/>
      <c r="C3" s="180"/>
      <c r="D3" s="180"/>
      <c r="E3" s="180"/>
      <c r="F3" s="184"/>
      <c r="G3" s="184"/>
      <c r="H3" s="184"/>
      <c r="I3" s="184"/>
      <c r="J3" s="184"/>
      <c r="K3" s="184"/>
      <c r="L3" s="184"/>
      <c r="N3" s="184"/>
      <c r="O3" s="184"/>
    </row>
    <row r="4" spans="1:24" ht="15" customHeight="1" x14ac:dyDescent="0.25">
      <c r="C4" s="30" t="s">
        <v>0</v>
      </c>
      <c r="D4" s="30" t="s">
        <v>1</v>
      </c>
      <c r="E4" s="30" t="s">
        <v>2</v>
      </c>
      <c r="J4" s="536" t="s">
        <v>1045</v>
      </c>
      <c r="K4" s="536"/>
      <c r="L4" s="536"/>
      <c r="M4" s="536"/>
      <c r="Q4" s="204" t="s">
        <v>3</v>
      </c>
      <c r="R4" s="610" t="str">
        <f>Recipe!R4</f>
        <v>19 A American Amber Ale</v>
      </c>
      <c r="S4" s="610">
        <f>Recipe!S4</f>
        <v>0</v>
      </c>
      <c r="T4" s="610">
        <f>Recipe!T4</f>
        <v>0</v>
      </c>
      <c r="U4" s="610">
        <f>Recipe!U4</f>
        <v>0</v>
      </c>
      <c r="V4" s="610">
        <f>Recipe!V4</f>
        <v>0</v>
      </c>
    </row>
    <row r="5" spans="1:24" x14ac:dyDescent="0.25">
      <c r="A5" s="10"/>
      <c r="B5" s="43" t="s">
        <v>6</v>
      </c>
      <c r="C5" s="191">
        <f>IF(W33=0,,1+((M27-1)*Volume/W33))</f>
        <v>1.0503870558442083</v>
      </c>
      <c r="D5" s="192">
        <f>IF(C5=0,,(-463.37)+(668.72*C5)-(205.35*(C5^2)))</f>
        <v>12.479514193221121</v>
      </c>
      <c r="E5" s="193">
        <f>IF(C5=0,,(C5-1.000019)/0.00387863426128)</f>
        <v>12.986028702687275</v>
      </c>
      <c r="F5" s="220" t="s">
        <v>7</v>
      </c>
      <c r="G5" s="62">
        <f>IF(ColorFormula="Weyermann",(SUM(O11:O26)*(D6/10)+5)*IF(ColorUnits="SRM:",0.51,1),IF(ColorUnits="SRM:",1,1.97)*(IF(ColorFormula="Efficiency",SUM(O11:O26),(IF(ColorFormula="Morey",SUM(O11:O26)^0.6859*1.4922,(IF(ColorFormula="Daniels",SUM(O11:O26)*0.2+8.4,IF(ColorFormula="Mosher",SUM(O11:O26)*0.3+4.7))))))))</f>
        <v>21.996273011240522</v>
      </c>
      <c r="H5" s="220" t="s">
        <v>8</v>
      </c>
      <c r="I5" s="194">
        <f>(OriginalGravity-C7)*1.25*1.05</f>
        <v>5.6234659090908912E-2</v>
      </c>
      <c r="J5" s="220" t="str">
        <f>IF(Units="metric","Liters:","Gallons:")</f>
        <v>Liters:</v>
      </c>
      <c r="K5" s="259">
        <f>Recipe!Volume*IF(Units="metric",3.78541178,1/3.78541178)</f>
        <v>41.639529580000001</v>
      </c>
      <c r="L5" s="43" t="s">
        <v>11</v>
      </c>
      <c r="M5" s="205" t="s">
        <v>103</v>
      </c>
      <c r="Q5" s="43" t="s">
        <v>9</v>
      </c>
      <c r="R5" s="464" t="str">
        <f>IF(R4=0,,VLOOKUP($R$4,Styles!$O$3:$V$160,2))</f>
        <v>1.045-60</v>
      </c>
      <c r="S5" s="43" t="s">
        <v>7</v>
      </c>
      <c r="T5" s="464" t="str">
        <f>IF(R4=0,,VLOOKUP($R$4,Styles!$O$3:$V$160,7))</f>
        <v>10-17</v>
      </c>
      <c r="U5" s="43" t="s">
        <v>10</v>
      </c>
      <c r="V5" s="464" t="str">
        <f>IF(R4=0,,VLOOKUP($R$4,Styles!$O$3:$V$160,8))</f>
        <v>2.2-2.8</v>
      </c>
    </row>
    <row r="6" spans="1:24" x14ac:dyDescent="0.25">
      <c r="A6" s="10"/>
      <c r="B6" s="220" t="s">
        <v>9</v>
      </c>
      <c r="C6" s="191">
        <f>M27</f>
        <v>1.0571272727272727</v>
      </c>
      <c r="D6" s="192">
        <f>(-463.37)+(668.72*OriginalGravity)-(205.35*(OriginalGravity^2))</f>
        <v>14.069813990942237</v>
      </c>
      <c r="E6" s="193">
        <f>( OriginalGravity-1.000019)/ 0.00387863426128</f>
        <v>14.723809691823385</v>
      </c>
      <c r="F6" s="220" t="s">
        <v>13</v>
      </c>
      <c r="G6" s="195">
        <f>X27</f>
        <v>49.790627349414272</v>
      </c>
      <c r="H6" s="220" t="s">
        <v>14</v>
      </c>
      <c r="I6" s="196">
        <f xml:space="preserve"> (D6-(0.1808*$D$6+0.8192*$D$7))/(2.0665-0.010665*D6)/100</f>
        <v>4.5106912848307514E-2</v>
      </c>
      <c r="J6" s="43" t="s">
        <v>1032</v>
      </c>
      <c r="K6" s="398">
        <f>Volume-S31-S32</f>
        <v>39.625369413092415</v>
      </c>
      <c r="L6" s="43" t="s">
        <v>1043</v>
      </c>
      <c r="M6" s="438" t="s">
        <v>1618</v>
      </c>
      <c r="Q6" s="43" t="s">
        <v>15</v>
      </c>
      <c r="R6" s="465" t="str">
        <f>IF(R4=0,,VLOOKUP($R$4,Styles!$O$3:$V$160,3))</f>
        <v>1.010-15</v>
      </c>
      <c r="S6" s="43" t="s">
        <v>13</v>
      </c>
      <c r="T6" s="465" t="str">
        <f>IF(R4=0,,VLOOKUP($R$4,Styles!$O$3:$V$160,5))</f>
        <v>25-40</v>
      </c>
    </row>
    <row r="7" spans="1:24" x14ac:dyDescent="0.25">
      <c r="B7" s="220" t="s">
        <v>15</v>
      </c>
      <c r="C7" s="469">
        <f>(OriginalGravity-1)*(1-J37)+1</f>
        <v>1.0142818181818183</v>
      </c>
      <c r="D7" s="470">
        <f>D6*(1-J37)</f>
        <v>3.5174534977355592</v>
      </c>
      <c r="E7" s="471">
        <f>(C7-1 + 0.000856829*(E6/1.04))*1.04/ 0.00349412</f>
        <v>7.8614581192192468</v>
      </c>
      <c r="F7" s="220" t="s">
        <v>18</v>
      </c>
      <c r="G7" s="12">
        <f>IF(OR(X27=0,OriginalGravity&lt;1.001),,X27/((OriginalGravity-1)*1000))</f>
        <v>0.87157368052762141</v>
      </c>
      <c r="H7" s="220" t="s">
        <v>19</v>
      </c>
      <c r="I7" s="222">
        <f>IF(I6=0,,(6.9*I6*100+4*((0.1808*D6+0.8192*D7)-0.1))*3.55*C7)</f>
        <v>188.76690483910548</v>
      </c>
      <c r="J7" s="220" t="s">
        <v>16</v>
      </c>
      <c r="K7" s="40">
        <f>Recipe!Efficiency</f>
        <v>0.8</v>
      </c>
      <c r="L7" s="43" t="s">
        <v>1044</v>
      </c>
      <c r="M7" s="443" t="s">
        <v>17</v>
      </c>
      <c r="Q7" s="43" t="s">
        <v>8</v>
      </c>
      <c r="R7" s="468" t="str">
        <f>IF(R4=0,,VLOOKUP($R$4,Styles!$O$3:$V$160,4))</f>
        <v>4.5-6.2</v>
      </c>
      <c r="S7" s="43" t="s">
        <v>20</v>
      </c>
      <c r="T7" s="466" t="str">
        <f>IF(R4=0,,VLOOKUP($R$4,Styles!$O$3:$V$160,6))</f>
        <v>0.56-0.67</v>
      </c>
    </row>
    <row r="8" spans="1:24" x14ac:dyDescent="0.25">
      <c r="S8" s="52"/>
      <c r="T8" s="52"/>
      <c r="U8" s="52"/>
    </row>
    <row r="9" spans="1:24" ht="15" customHeight="1" thickBot="1" x14ac:dyDescent="0.35">
      <c r="B9" s="336" t="s">
        <v>22</v>
      </c>
      <c r="C9" s="13"/>
      <c r="D9" s="13"/>
      <c r="E9" s="13"/>
      <c r="F9" s="13"/>
      <c r="G9" s="13"/>
      <c r="H9" s="13"/>
      <c r="I9" s="13"/>
      <c r="J9" s="14"/>
      <c r="K9" s="16"/>
      <c r="L9" s="16"/>
      <c r="M9" s="16"/>
      <c r="N9" s="14"/>
      <c r="O9" s="15"/>
      <c r="Q9" s="337" t="s">
        <v>54</v>
      </c>
      <c r="R9" s="17"/>
      <c r="S9" s="17"/>
      <c r="T9" s="221"/>
      <c r="U9" s="221"/>
      <c r="V9" s="221"/>
      <c r="W9" s="9"/>
      <c r="X9" s="9"/>
    </row>
    <row r="10" spans="1:24" ht="15" customHeight="1" x14ac:dyDescent="0.25">
      <c r="B10" s="171" t="s">
        <v>24</v>
      </c>
      <c r="C10" s="541" t="s">
        <v>25</v>
      </c>
      <c r="D10" s="542"/>
      <c r="E10" s="542"/>
      <c r="F10" s="542"/>
      <c r="G10" s="542"/>
      <c r="H10" s="543"/>
      <c r="I10" s="20" t="s">
        <v>29</v>
      </c>
      <c r="J10" s="19" t="str">
        <f>IF(Units="metric","kg","lbs")</f>
        <v>kg</v>
      </c>
      <c r="K10" s="19" t="str">
        <f>IF(Units="metric","g","oz")</f>
        <v>g</v>
      </c>
      <c r="L10" s="172" t="s">
        <v>28</v>
      </c>
      <c r="M10" s="19" t="s">
        <v>26</v>
      </c>
      <c r="N10" s="20" t="str">
        <f>IF(Units="metric","points/kg","points/lb")</f>
        <v>points/kg</v>
      </c>
      <c r="O10" s="19" t="s">
        <v>1046</v>
      </c>
      <c r="Q10" s="173" t="s">
        <v>56</v>
      </c>
      <c r="R10" s="546" t="s">
        <v>57</v>
      </c>
      <c r="S10" s="547"/>
      <c r="T10" s="21" t="s">
        <v>58</v>
      </c>
      <c r="U10" s="21" t="s">
        <v>59</v>
      </c>
      <c r="V10" s="49" t="str">
        <f>IF(Recipe!V10="oz","grams","oz")</f>
        <v>grams</v>
      </c>
      <c r="W10" s="21" t="s">
        <v>61</v>
      </c>
      <c r="X10" s="174" t="s">
        <v>62</v>
      </c>
    </row>
    <row r="11" spans="1:24" ht="15" customHeight="1" x14ac:dyDescent="0.25">
      <c r="B11" s="313" t="str">
        <f>Recipe!B11</f>
        <v>Pale</v>
      </c>
      <c r="C11" s="601" t="str">
        <f>Recipe!C11</f>
        <v>Briess Brewers Malt</v>
      </c>
      <c r="D11" s="602"/>
      <c r="E11" s="602"/>
      <c r="F11" s="602"/>
      <c r="G11" s="602"/>
      <c r="H11" s="603"/>
      <c r="I11" s="444">
        <f>IF(C11=0,,VLOOKUP(C11,Fermentables!B:D,3))</f>
        <v>1.8</v>
      </c>
      <c r="J11" s="272">
        <f>ROUNDDOWN((Recipe!J11+Recipe!K11/(IF(Units="metric",16,1000)))*(IF(Units="metric",0.45359237, 1/0.45359237)),0)</f>
        <v>5</v>
      </c>
      <c r="K11" s="272">
        <f>((Recipe!J11+Recipe!K11/(IF(Units="metric",16,1000)))*(IF(Units="metric",0.45359237,1/0.45359237))-ROUNDDOWN((Recipe!J11+Recipe!K11/(IF(Units="metric",16,1000)))*(IF(Units="metric",0.45359237, 1/0.45359237)),0))*(IF(Units="metric",1000,16))</f>
        <v>669.90462500000001</v>
      </c>
      <c r="L11" s="278">
        <f t="shared" ref="L11:L26" si="0">IF(TotalFermentables=0,,(J11+K11/IF(Units="metric",1000,16))/TotalFermentables)</f>
        <v>0.57803468208092479</v>
      </c>
      <c r="M11" s="27">
        <f t="shared" ref="M11:M26" si="1">IF(OR(B11="Extract",B11="Adjunct"),1,Efficiency)*((N11/1000)*(J11+K11/IF(Units="metric",1000,16))/Volume)*IF(Units="metric",3.78541178,1)</f>
        <v>3.2727272727272751E-2</v>
      </c>
      <c r="N11" s="197">
        <f>IF(C11=0,,(VLOOKUP(C11,Fermentables!B:D,2)/IF(Units="metric",0.45359237,1)))</f>
        <v>79.366414386555988</v>
      </c>
      <c r="O11" s="28">
        <f t="shared" ref="O11:O26" si="2">IF(ColorFormula="Weyermann",(L11*(I11*1.3564-0.76)*1.97),IF(ColorFormula="Efficiency",IF(OR(B11="Extract",B11="Adjunct"),1,Efficiency),1)*(J11+K11/IF(Units="metric",1000,16))*(I11*1.3564-0.76)/Volume*IF(Units="metric",3.78541178/0.45359237,1))</f>
        <v>1.914794450867052</v>
      </c>
      <c r="Q11" s="214">
        <f>Recipe!Q11</f>
        <v>60</v>
      </c>
      <c r="R11" s="593" t="str">
        <f>Recipe!R11</f>
        <v>Cascade</v>
      </c>
      <c r="S11" s="594">
        <f>Recipe!S11</f>
        <v>0</v>
      </c>
      <c r="T11" s="215">
        <f>Recipe!T11</f>
        <v>5.7000000000000002E-2</v>
      </c>
      <c r="U11" s="215" t="str">
        <f>Recipe!U11</f>
        <v>Pellet</v>
      </c>
      <c r="V11" s="258">
        <f>Recipe!V11*IF(Recipe!HopUnits="oz",28.349523125,1/28.349523125)</f>
        <v>113.3980925</v>
      </c>
      <c r="W11" s="33">
        <f t="shared" ref="W11:W24" si="3">T11*100*V11/IF(HopUnits="grams",28.3495231,1)</f>
        <v>22.800000020106161</v>
      </c>
      <c r="X11" s="200">
        <f t="shared" ref="X11:X24" si="4">IF(OR(Volume=0,OriginalGravity=0,Q11="flame out"),,IF(Q11="dry hops",,IF(HopCalc="Rager",IF(U11="pellet",1.1,1)*IF(Q11="Mash",0.2,1)*IF(Q11="FWH",1.1,1)*V11*T11*1000*IF(HopUnits="grams",1,28.349523125)*IF(Units="metric",1,0.264172052358)*((18.11+13.86*TANH((IF(OR(Q11="FWH",Q11="mash"),BoilTime,Q11)-31.32)/18.27))/100)/(Volume*(1+(OriginalGravity-1.05)/0.2)),IF(U11="pellet",1.1,1)*IF(Q11="Mash",0.2,1)*IF(Q11="FWH",1.1,1)*(T11*V11*1000*IF(HopUnits="grams",1,28.349523125)*IF(Units="metric",1,0.264172052358)/Volume)*((1-EXP(-0.04*IF(OR(Q11="FWH",Q11="mash"),BoilTime,Q11)))/4.15)*(1.65*0.000125^(OriginalGravity-1)))))</f>
        <v>36.942735729179091</v>
      </c>
    </row>
    <row r="12" spans="1:24" ht="15" customHeight="1" x14ac:dyDescent="0.25">
      <c r="B12" s="313" t="str">
        <f>Recipe!B12</f>
        <v>NonBarley</v>
      </c>
      <c r="C12" s="601" t="str">
        <f>Recipe!C12</f>
        <v>Briess Wheat Malt</v>
      </c>
      <c r="D12" s="602"/>
      <c r="E12" s="602"/>
      <c r="F12" s="602"/>
      <c r="G12" s="602"/>
      <c r="H12" s="603"/>
      <c r="I12" s="444">
        <f>IF(C12=0,,VLOOKUP(C12,Fermentables!B:D,3))</f>
        <v>2.5</v>
      </c>
      <c r="J12" s="272">
        <f>ROUNDDOWN((Recipe!J12+Recipe!K12/(IF(Units="metric",16,1000)))*(IF(Units="metric",0.45359237, 1/0.45359237)),0)</f>
        <v>1</v>
      </c>
      <c r="K12" s="272">
        <f>((Recipe!J12+Recipe!K12/(IF(Units="metric",16,1000)))*(IF(Units="metric",0.45359237,1/0.45359237))-ROUNDDOWN((Recipe!J12+Recipe!K12/(IF(Units="metric",16,1000)))*(IF(Units="metric",0.45359237, 1/0.45359237)),0))*(IF(Units="metric",1000,16))</f>
        <v>587.57329500000014</v>
      </c>
      <c r="L12" s="278">
        <f t="shared" si="0"/>
        <v>0.16184971098265896</v>
      </c>
      <c r="M12" s="27">
        <f t="shared" si="1"/>
        <v>1.0181818181818191E-2</v>
      </c>
      <c r="N12" s="197">
        <f>IF(C12=0,,(VLOOKUP(C12,Fermentables!B:D,2)/IF(Units="metric",0.45359237,1)))</f>
        <v>88.184904873951112</v>
      </c>
      <c r="O12" s="28">
        <f t="shared" si="2"/>
        <v>0.83887838150289029</v>
      </c>
      <c r="Q12" s="214">
        <f>Recipe!Q12</f>
        <v>15</v>
      </c>
      <c r="R12" s="593" t="str">
        <f>Recipe!R12</f>
        <v>Cascade</v>
      </c>
      <c r="S12" s="595">
        <f>Recipe!S12</f>
        <v>0</v>
      </c>
      <c r="T12" s="215">
        <f>Recipe!T12</f>
        <v>5.7000000000000002E-2</v>
      </c>
      <c r="U12" s="215" t="str">
        <f>Recipe!U12</f>
        <v>Pellet</v>
      </c>
      <c r="V12" s="258">
        <f>Recipe!V12*IF(Recipe!HopUnits="oz",28.349523125,1/28.349523125)</f>
        <v>56.699046250000002</v>
      </c>
      <c r="W12" s="33">
        <f t="shared" si="3"/>
        <v>11.400000010053081</v>
      </c>
      <c r="X12" s="200">
        <f t="shared" si="4"/>
        <v>9.1655458018541083</v>
      </c>
    </row>
    <row r="13" spans="1:24" ht="15" customHeight="1" x14ac:dyDescent="0.25">
      <c r="B13" s="313" t="str">
        <f>Recipe!B13</f>
        <v>Caramel</v>
      </c>
      <c r="C13" s="601" t="str">
        <f>Recipe!C13</f>
        <v>Weyermann CARAMUNICH Type 1</v>
      </c>
      <c r="D13" s="602"/>
      <c r="E13" s="602"/>
      <c r="F13" s="602"/>
      <c r="G13" s="602"/>
      <c r="H13" s="603"/>
      <c r="I13" s="444">
        <f>IF(C13=0,,VLOOKUP(C13,Fermentables!B:D,3))</f>
        <v>34.5</v>
      </c>
      <c r="J13" s="272">
        <f>ROUNDDOWN((Recipe!J13+Recipe!K13/(IF(Units="metric",16,1000)))*(IF(Units="metric",0.45359237, 1/0.45359237)),0)</f>
        <v>0</v>
      </c>
      <c r="K13" s="272">
        <f>((Recipe!J13+Recipe!K13/(IF(Units="metric",16,1000)))*(IF(Units="metric",0.45359237,1/0.45359237))-ROUNDDOWN((Recipe!J13+Recipe!K13/(IF(Units="metric",16,1000)))*(IF(Units="metric",0.45359237, 1/0.45359237)),0))*(IF(Units="metric",1000,16))</f>
        <v>907.18474000000003</v>
      </c>
      <c r="L13" s="278">
        <f t="shared" si="0"/>
        <v>9.2485549132947972E-2</v>
      </c>
      <c r="M13" s="27">
        <f t="shared" si="1"/>
        <v>4.9454545454545498E-3</v>
      </c>
      <c r="N13" s="197">
        <f>IF(C13=0,,(VLOOKUP(C13,Fermentables!B:D,2)/IF(Units="metric",0.45359237,1)))</f>
        <v>74.957169142858433</v>
      </c>
      <c r="O13" s="28">
        <f t="shared" si="2"/>
        <v>8.3875630982658951</v>
      </c>
      <c r="Q13" s="214">
        <f>Recipe!Q13</f>
        <v>5</v>
      </c>
      <c r="R13" s="593" t="str">
        <f>Recipe!R13</f>
        <v>Cascade</v>
      </c>
      <c r="S13" s="595">
        <f>Recipe!S13</f>
        <v>0</v>
      </c>
      <c r="T13" s="215">
        <f>Recipe!T13</f>
        <v>5.7000000000000002E-2</v>
      </c>
      <c r="U13" s="215" t="str">
        <f>Recipe!U13</f>
        <v>Pellet</v>
      </c>
      <c r="V13" s="258">
        <f>Recipe!V13*IF(Recipe!HopUnits="oz",28.349523125,1/28.349523125)</f>
        <v>56.699046250000002</v>
      </c>
      <c r="W13" s="33">
        <f t="shared" si="3"/>
        <v>11.400000010053081</v>
      </c>
      <c r="X13" s="200">
        <f t="shared" si="4"/>
        <v>3.6823458183810716</v>
      </c>
    </row>
    <row r="14" spans="1:24" ht="15" customHeight="1" x14ac:dyDescent="0.25">
      <c r="B14" s="313" t="str">
        <f>Recipe!B14</f>
        <v>Caramel</v>
      </c>
      <c r="C14" s="618" t="str">
        <f>Recipe!C14</f>
        <v>Briess Caramel Malt 120L</v>
      </c>
      <c r="D14" s="619"/>
      <c r="E14" s="619"/>
      <c r="F14" s="619"/>
      <c r="G14" s="619"/>
      <c r="H14" s="620"/>
      <c r="I14" s="444">
        <f>IF(C14=0,,VLOOKUP(C14,Fermentables!B:D,3))</f>
        <v>120</v>
      </c>
      <c r="J14" s="272">
        <f>ROUNDDOWN((Recipe!J14+Recipe!K14/(IF(Units="metric",16,1000)))*(IF(Units="metric",0.45359237, 1/0.45359237)),0)</f>
        <v>0</v>
      </c>
      <c r="K14" s="272">
        <f>((Recipe!J14+Recipe!K14/(IF(Units="metric",16,1000)))*(IF(Units="metric",0.45359237,1/0.45359237))-ROUNDDOWN((Recipe!J14+Recipe!K14/(IF(Units="metric",16,1000)))*(IF(Units="metric",0.45359237, 1/0.45359237)),0))*(IF(Units="metric",1000,16))</f>
        <v>226.79618500000001</v>
      </c>
      <c r="L14" s="278">
        <f t="shared" si="0"/>
        <v>2.3121387283236993E-2</v>
      </c>
      <c r="M14" s="27">
        <f t="shared" si="1"/>
        <v>1.2000000000000001E-3</v>
      </c>
      <c r="N14" s="197">
        <f>IF(C14=0,,(VLOOKUP(C14,Fermentables!B:D,2)/IF(Units="metric",0.45359237,1)))</f>
        <v>72.752546521009592</v>
      </c>
      <c r="O14" s="28">
        <f t="shared" si="2"/>
        <v>7.3793239306358389</v>
      </c>
      <c r="Q14" s="214">
        <f>Recipe!Q14</f>
        <v>0</v>
      </c>
      <c r="R14" s="593">
        <f>Recipe!R14</f>
        <v>0</v>
      </c>
      <c r="S14" s="595">
        <f>Recipe!S14</f>
        <v>0</v>
      </c>
      <c r="T14" s="215">
        <f>Recipe!T14</f>
        <v>0</v>
      </c>
      <c r="U14" s="215">
        <f>Recipe!U14</f>
        <v>0</v>
      </c>
      <c r="V14" s="258">
        <f>Recipe!V14*IF(Recipe!HopUnits="oz",28.349523125,1/28.349523125)</f>
        <v>0</v>
      </c>
      <c r="W14" s="33">
        <f t="shared" si="3"/>
        <v>0</v>
      </c>
      <c r="X14" s="200">
        <f t="shared" si="4"/>
        <v>0</v>
      </c>
    </row>
    <row r="15" spans="1:24" ht="15" customHeight="1" x14ac:dyDescent="0.25">
      <c r="B15" s="313" t="str">
        <f>Recipe!B15</f>
        <v>Flaked</v>
      </c>
      <c r="C15" s="618" t="str">
        <f>Recipe!C15</f>
        <v>Thomas Fawcett &amp; Sons Ltd Flaked Maize</v>
      </c>
      <c r="D15" s="619"/>
      <c r="E15" s="619"/>
      <c r="F15" s="619"/>
      <c r="G15" s="619"/>
      <c r="H15" s="620"/>
      <c r="I15" s="444">
        <f>IF(C15=0,,VLOOKUP(C15,Fermentables!B:D,3))</f>
        <v>2.25</v>
      </c>
      <c r="J15" s="272">
        <f>ROUNDDOWN((Recipe!J15+Recipe!K15/(IF(Units="metric",16,1000)))*(IF(Units="metric",0.45359237, 1/0.45359237)),0)</f>
        <v>0</v>
      </c>
      <c r="K15" s="272">
        <f>((Recipe!J15+Recipe!K15/(IF(Units="metric",16,1000)))*(IF(Units="metric",0.45359237,1/0.45359237))-ROUNDDOWN((Recipe!J15+Recipe!K15/(IF(Units="metric",16,1000)))*(IF(Units="metric",0.45359237, 1/0.45359237)),0))*(IF(Units="metric",1000,16))</f>
        <v>907.18474000000003</v>
      </c>
      <c r="L15" s="278">
        <f t="shared" si="0"/>
        <v>9.2485549132947972E-2</v>
      </c>
      <c r="M15" s="27">
        <f t="shared" si="1"/>
        <v>5.3818181818181708E-3</v>
      </c>
      <c r="N15" s="197">
        <f>IF(C15=0,,(VLOOKUP(C15,Fermentables!B:D,2)/IF(Units="metric",0.45359237,1)))</f>
        <v>81.571037008404531</v>
      </c>
      <c r="O15" s="28">
        <f t="shared" si="2"/>
        <v>0.41757623121387283</v>
      </c>
      <c r="Q15" s="214">
        <f>Recipe!Q15</f>
        <v>0</v>
      </c>
      <c r="R15" s="593">
        <f>Recipe!R15</f>
        <v>0</v>
      </c>
      <c r="S15" s="595">
        <f>Recipe!S15</f>
        <v>0</v>
      </c>
      <c r="T15" s="215">
        <f>Recipe!T15</f>
        <v>0</v>
      </c>
      <c r="U15" s="215">
        <f>Recipe!U15</f>
        <v>0</v>
      </c>
      <c r="V15" s="258">
        <f>Recipe!V15*IF(Recipe!HopUnits="oz",28.349523125,1/28.349523125)</f>
        <v>0</v>
      </c>
      <c r="W15" s="33">
        <f t="shared" si="3"/>
        <v>0</v>
      </c>
      <c r="X15" s="200">
        <f t="shared" si="4"/>
        <v>0</v>
      </c>
    </row>
    <row r="16" spans="1:24" ht="15" customHeight="1" x14ac:dyDescent="0.25">
      <c r="B16" s="313" t="str">
        <f>Recipe!B16</f>
        <v>NonBarley</v>
      </c>
      <c r="C16" s="618" t="str">
        <f>Recipe!C16</f>
        <v>Malteries Franco-Belges Oatmeal</v>
      </c>
      <c r="D16" s="619"/>
      <c r="E16" s="619"/>
      <c r="F16" s="619"/>
      <c r="G16" s="619"/>
      <c r="H16" s="620"/>
      <c r="I16" s="444">
        <f>IF(C16=0,,VLOOKUP(C16,Fermentables!B:D,3))</f>
        <v>1</v>
      </c>
      <c r="J16" s="272">
        <f>ROUNDDOWN((Recipe!J16+Recipe!K16/(IF(Units="metric",16,1000)))*(IF(Units="metric",0.45359237, 1/0.45359237)),0)</f>
        <v>0</v>
      </c>
      <c r="K16" s="272">
        <f>((Recipe!J16+Recipe!K16/(IF(Units="metric",16,1000)))*(IF(Units="metric",0.45359237,1/0.45359237))-ROUNDDOWN((Recipe!J16+Recipe!K16/(IF(Units="metric",16,1000)))*(IF(Units="metric",0.45359237, 1/0.45359237)),0))*(IF(Units="metric",1000,16))</f>
        <v>453.59237000000002</v>
      </c>
      <c r="L16" s="278">
        <f t="shared" si="0"/>
        <v>4.6242774566473986E-2</v>
      </c>
      <c r="M16" s="27">
        <f t="shared" si="1"/>
        <v>2.4000000000000002E-3</v>
      </c>
      <c r="N16" s="197">
        <f>IF(C16=0,,(VLOOKUP(C16,Fermentables!B:D,2)/IF(Units="metric",0.45359237,1)))</f>
        <v>72.752546521009592</v>
      </c>
      <c r="O16" s="28">
        <f t="shared" si="2"/>
        <v>5.4331005780346817E-2</v>
      </c>
      <c r="Q16" s="214">
        <f>Recipe!Q16</f>
        <v>0</v>
      </c>
      <c r="R16" s="593">
        <f>Recipe!R16</f>
        <v>0</v>
      </c>
      <c r="S16" s="595">
        <f>Recipe!S16</f>
        <v>0</v>
      </c>
      <c r="T16" s="215">
        <f>Recipe!T16</f>
        <v>0</v>
      </c>
      <c r="U16" s="215">
        <f>Recipe!U16</f>
        <v>0</v>
      </c>
      <c r="V16" s="258">
        <f>Recipe!V16*IF(Recipe!HopUnits="oz",28.349523125,1/28.349523125)</f>
        <v>0</v>
      </c>
      <c r="W16" s="33">
        <f t="shared" si="3"/>
        <v>0</v>
      </c>
      <c r="X16" s="200">
        <f t="shared" si="4"/>
        <v>0</v>
      </c>
    </row>
    <row r="17" spans="2:34" ht="15" customHeight="1" x14ac:dyDescent="0.25">
      <c r="B17" s="313" t="str">
        <f>Recipe!B17</f>
        <v>Roasted</v>
      </c>
      <c r="C17" s="618" t="str">
        <f>Recipe!C17</f>
        <v>Weyermann CARAFA Special Type 3 (dehusked)</v>
      </c>
      <c r="D17" s="619"/>
      <c r="E17" s="619"/>
      <c r="F17" s="619"/>
      <c r="G17" s="619"/>
      <c r="H17" s="620"/>
      <c r="I17" s="444">
        <f>IF(C17=0,,VLOOKUP(C17,Fermentables!B:D,3))</f>
        <v>525.5</v>
      </c>
      <c r="J17" s="272">
        <f>ROUNDDOWN((Recipe!J17+Recipe!K17/(IF(Units="metric",16,1000)))*(IF(Units="metric",0.45359237, 1/0.45359237)),0)</f>
        <v>0</v>
      </c>
      <c r="K17" s="272">
        <f>((Recipe!J17+Recipe!K17/(IF(Units="metric",16,1000)))*(IF(Units="metric",0.45359237,1/0.45359237))-ROUNDDOWN((Recipe!J17+Recipe!K17/(IF(Units="metric",16,1000)))*(IF(Units="metric",0.45359237, 1/0.45359237)),0))*(IF(Units="metric",1000,16))</f>
        <v>56.699046250000002</v>
      </c>
      <c r="L17" s="278">
        <f t="shared" si="0"/>
        <v>5.7803468208092483E-3</v>
      </c>
      <c r="M17" s="27">
        <f t="shared" si="1"/>
        <v>2.9090909090909118E-4</v>
      </c>
      <c r="N17" s="197">
        <f>IF(C17=0,,(VLOOKUP(C17,Fermentables!B:D,2)/IF(Units="metric",0.45359237,1)))</f>
        <v>70.547923899160878</v>
      </c>
      <c r="O17" s="28">
        <f t="shared" si="2"/>
        <v>8.1080667861271678</v>
      </c>
      <c r="Q17" s="214">
        <f>Recipe!Q17</f>
        <v>0</v>
      </c>
      <c r="R17" s="593">
        <f>Recipe!R17</f>
        <v>0</v>
      </c>
      <c r="S17" s="595">
        <f>Recipe!S17</f>
        <v>0</v>
      </c>
      <c r="T17" s="215">
        <f>Recipe!T17</f>
        <v>0</v>
      </c>
      <c r="U17" s="215">
        <f>Recipe!U17</f>
        <v>0</v>
      </c>
      <c r="V17" s="258">
        <f>Recipe!V17*IF(Recipe!HopUnits="oz",28.349523125,1/28.349523125)</f>
        <v>0</v>
      </c>
      <c r="W17" s="33">
        <f t="shared" si="3"/>
        <v>0</v>
      </c>
      <c r="X17" s="200">
        <f t="shared" si="4"/>
        <v>0</v>
      </c>
    </row>
    <row r="18" spans="2:34" ht="15" customHeight="1" x14ac:dyDescent="0.25">
      <c r="B18" s="313">
        <f>Recipe!B18</f>
        <v>0</v>
      </c>
      <c r="C18" s="618">
        <f>Recipe!C18</f>
        <v>0</v>
      </c>
      <c r="D18" s="619"/>
      <c r="E18" s="619"/>
      <c r="F18" s="619"/>
      <c r="G18" s="619"/>
      <c r="H18" s="620"/>
      <c r="I18" s="444">
        <f>IF(C18=0,,VLOOKUP(C18,Fermentables!B:D,3))</f>
        <v>0</v>
      </c>
      <c r="J18" s="272">
        <f>ROUNDDOWN((Recipe!J18+Recipe!K18/(IF(Units="metric",16,1000)))*(IF(Units="metric",0.45359237, 1/0.45359237)),0)</f>
        <v>0</v>
      </c>
      <c r="K18" s="272">
        <f>((Recipe!J18+Recipe!K18/(IF(Units="metric",16,1000)))*(IF(Units="metric",0.45359237,1/0.45359237))-ROUNDDOWN((Recipe!J18+Recipe!K18/(IF(Units="metric",16,1000)))*(IF(Units="metric",0.45359237, 1/0.45359237)),0))*(IF(Units="metric",1000,16))</f>
        <v>0</v>
      </c>
      <c r="L18" s="278">
        <f t="shared" si="0"/>
        <v>0</v>
      </c>
      <c r="M18" s="27">
        <f t="shared" si="1"/>
        <v>0</v>
      </c>
      <c r="N18" s="197">
        <f>IF(C18=0,,(VLOOKUP(C18,Fermentables!B:D,2)/IF(Units="metric",0.45359237,1)))</f>
        <v>0</v>
      </c>
      <c r="O18" s="28">
        <f t="shared" si="2"/>
        <v>0</v>
      </c>
      <c r="Q18" s="214">
        <f>Recipe!Q18</f>
        <v>0</v>
      </c>
      <c r="R18" s="593">
        <f>Recipe!R18</f>
        <v>0</v>
      </c>
      <c r="S18" s="595">
        <f>Recipe!S18</f>
        <v>0</v>
      </c>
      <c r="T18" s="215">
        <f>Recipe!T18</f>
        <v>0</v>
      </c>
      <c r="U18" s="215">
        <f>Recipe!U18</f>
        <v>0</v>
      </c>
      <c r="V18" s="258">
        <f>Recipe!V18*IF(Recipe!HopUnits="oz",28.349523125,1/28.349523125)</f>
        <v>0</v>
      </c>
      <c r="W18" s="33">
        <f t="shared" si="3"/>
        <v>0</v>
      </c>
      <c r="X18" s="200">
        <f t="shared" si="4"/>
        <v>0</v>
      </c>
    </row>
    <row r="19" spans="2:34" ht="15" customHeight="1" x14ac:dyDescent="0.25">
      <c r="B19" s="313">
        <f>Recipe!B19</f>
        <v>0</v>
      </c>
      <c r="C19" s="618">
        <f>Recipe!C19</f>
        <v>0</v>
      </c>
      <c r="D19" s="619"/>
      <c r="E19" s="619"/>
      <c r="F19" s="619"/>
      <c r="G19" s="619"/>
      <c r="H19" s="620"/>
      <c r="I19" s="444"/>
      <c r="J19" s="272">
        <f>ROUNDDOWN((Recipe!J19+Recipe!K19/(IF(Units="metric",16,1000)))*(IF(Units="metric",0.45359237, 1/0.45359237)),0)</f>
        <v>0</v>
      </c>
      <c r="K19" s="272">
        <f>((Recipe!J19+Recipe!K19/(IF(Units="metric",16,1000)))*(IF(Units="metric",0.45359237,1/0.45359237))-ROUNDDOWN((Recipe!J19+Recipe!K19/(IF(Units="metric",16,1000)))*(IF(Units="metric",0.45359237, 1/0.45359237)),0))*(IF(Units="metric",1000,16))</f>
        <v>0</v>
      </c>
      <c r="L19" s="278">
        <f t="shared" si="0"/>
        <v>0</v>
      </c>
      <c r="M19" s="27">
        <f t="shared" si="1"/>
        <v>0</v>
      </c>
      <c r="N19" s="197">
        <f>IF(C19=0,,(VLOOKUP(C19,Fermentables!B:D,2)/IF(Units="metric",0.45359237,1)))</f>
        <v>0</v>
      </c>
      <c r="O19" s="28">
        <f t="shared" si="2"/>
        <v>0</v>
      </c>
      <c r="Q19" s="214">
        <f>Recipe!Q19</f>
        <v>0</v>
      </c>
      <c r="R19" s="593">
        <f>Recipe!R19</f>
        <v>0</v>
      </c>
      <c r="S19" s="594">
        <f>Recipe!S19</f>
        <v>0</v>
      </c>
      <c r="T19" s="215">
        <f>Recipe!T19</f>
        <v>0</v>
      </c>
      <c r="U19" s="215">
        <f>Recipe!U19</f>
        <v>0</v>
      </c>
      <c r="V19" s="258">
        <f>Recipe!V19*IF(Recipe!HopUnits="oz",28.349523125,1/28.349523125)</f>
        <v>0</v>
      </c>
      <c r="W19" s="33">
        <f t="shared" si="3"/>
        <v>0</v>
      </c>
      <c r="X19" s="200">
        <f t="shared" si="4"/>
        <v>0</v>
      </c>
    </row>
    <row r="20" spans="2:34" ht="15" customHeight="1" x14ac:dyDescent="0.25">
      <c r="B20" s="313">
        <f>Recipe!B20</f>
        <v>0</v>
      </c>
      <c r="C20" s="601">
        <f>Recipe!C20</f>
        <v>0</v>
      </c>
      <c r="D20" s="602"/>
      <c r="E20" s="602"/>
      <c r="F20" s="602"/>
      <c r="G20" s="602"/>
      <c r="H20" s="603"/>
      <c r="I20" s="444">
        <f>IF(C20=0,,VLOOKUP(C20,Fermentables!B:D,3))</f>
        <v>0</v>
      </c>
      <c r="J20" s="272">
        <f>ROUNDDOWN((Recipe!J20+Recipe!K20/(IF(Units="metric",16,1000)))*(IF(Units="metric",0.45359237, 1/0.45359237)),0)</f>
        <v>0</v>
      </c>
      <c r="K20" s="272">
        <f>((Recipe!J20+Recipe!K20/(IF(Units="metric",16,1000)))*(IF(Units="metric",0.45359237,1/0.45359237))-ROUNDDOWN((Recipe!J20+Recipe!K20/(IF(Units="metric",16,1000)))*(IF(Units="metric",0.45359237, 1/0.45359237)),0))*(IF(Units="metric",1000,16))</f>
        <v>0</v>
      </c>
      <c r="L20" s="278">
        <f t="shared" si="0"/>
        <v>0</v>
      </c>
      <c r="M20" s="27">
        <f t="shared" si="1"/>
        <v>0</v>
      </c>
      <c r="N20" s="197">
        <f>IF(C20=0,,(VLOOKUP(C20,Fermentables!B:D,2)/IF(Units="metric",0.45359237,1)))</f>
        <v>0</v>
      </c>
      <c r="O20" s="28">
        <f t="shared" si="2"/>
        <v>0</v>
      </c>
      <c r="Q20" s="214">
        <f>Recipe!Q20</f>
        <v>0</v>
      </c>
      <c r="R20" s="593">
        <f>Recipe!R20</f>
        <v>0</v>
      </c>
      <c r="S20" s="594">
        <f>Recipe!S20</f>
        <v>0</v>
      </c>
      <c r="T20" s="215">
        <f>Recipe!T20</f>
        <v>0</v>
      </c>
      <c r="U20" s="215">
        <f>Recipe!U20</f>
        <v>0</v>
      </c>
      <c r="V20" s="258">
        <f>Recipe!V20*IF(Recipe!HopUnits="oz",28.349523125,1/28.349523125)</f>
        <v>0</v>
      </c>
      <c r="W20" s="33">
        <f t="shared" si="3"/>
        <v>0</v>
      </c>
      <c r="X20" s="200">
        <f t="shared" si="4"/>
        <v>0</v>
      </c>
    </row>
    <row r="21" spans="2:34" ht="15" customHeight="1" x14ac:dyDescent="0.25">
      <c r="B21" s="313">
        <f>Recipe!B21</f>
        <v>0</v>
      </c>
      <c r="C21" s="601">
        <f>Recipe!C21</f>
        <v>0</v>
      </c>
      <c r="D21" s="602"/>
      <c r="E21" s="602"/>
      <c r="F21" s="602"/>
      <c r="G21" s="602"/>
      <c r="H21" s="603"/>
      <c r="I21" s="444">
        <f>IF(C21=0,,VLOOKUP(C21,Fermentables!B:D,3))</f>
        <v>0</v>
      </c>
      <c r="J21" s="272">
        <f>ROUNDDOWN((Recipe!J21+Recipe!K21/(IF(Units="metric",16,1000)))*(IF(Units="metric",0.45359237, 1/0.45359237)),0)</f>
        <v>0</v>
      </c>
      <c r="K21" s="272">
        <f>((Recipe!J21+Recipe!K21/(IF(Units="metric",16,1000)))*(IF(Units="metric",0.45359237,1/0.45359237))-ROUNDDOWN((Recipe!J21+Recipe!K21/(IF(Units="metric",16,1000)))*(IF(Units="metric",0.45359237, 1/0.45359237)),0))*(IF(Units="metric",1000,16))</f>
        <v>0</v>
      </c>
      <c r="L21" s="278">
        <f t="shared" si="0"/>
        <v>0</v>
      </c>
      <c r="M21" s="27">
        <f t="shared" si="1"/>
        <v>0</v>
      </c>
      <c r="N21" s="197">
        <f>IF(C21=0,,(VLOOKUP(C21,Fermentables!B:D,2)/IF(Units="metric",0.45359237,1)))</f>
        <v>0</v>
      </c>
      <c r="O21" s="28">
        <f t="shared" si="2"/>
        <v>0</v>
      </c>
      <c r="Q21" s="214">
        <f>Recipe!Q21</f>
        <v>0</v>
      </c>
      <c r="R21" s="593">
        <f>Recipe!R21</f>
        <v>0</v>
      </c>
      <c r="S21" s="594">
        <f>Recipe!S21</f>
        <v>0</v>
      </c>
      <c r="T21" s="215">
        <f>Recipe!T21</f>
        <v>0</v>
      </c>
      <c r="U21" s="215">
        <f>Recipe!U21</f>
        <v>0</v>
      </c>
      <c r="V21" s="258">
        <f>Recipe!V21*IF(Recipe!HopUnits="oz",28.349523125,1/28.349523125)</f>
        <v>0</v>
      </c>
      <c r="W21" s="33">
        <f t="shared" si="3"/>
        <v>0</v>
      </c>
      <c r="X21" s="200">
        <f t="shared" si="4"/>
        <v>0</v>
      </c>
    </row>
    <row r="22" spans="2:34" ht="15" customHeight="1" x14ac:dyDescent="0.25">
      <c r="B22" s="313">
        <f>Recipe!B22</f>
        <v>0</v>
      </c>
      <c r="C22" s="601">
        <f>Recipe!C22</f>
        <v>0</v>
      </c>
      <c r="D22" s="602"/>
      <c r="E22" s="602"/>
      <c r="F22" s="602"/>
      <c r="G22" s="602"/>
      <c r="H22" s="603"/>
      <c r="I22" s="444">
        <f>IF(C22=0,,VLOOKUP(C22,Fermentables!B:D,3))</f>
        <v>0</v>
      </c>
      <c r="J22" s="272">
        <f>ROUNDDOWN((Recipe!J22+Recipe!K22/(IF(Units="metric",16,1000)))*(IF(Units="metric",0.45359237, 1/0.45359237)),0)</f>
        <v>0</v>
      </c>
      <c r="K22" s="272">
        <f>((Recipe!J22+Recipe!K22/(IF(Units="metric",16,1000)))*(IF(Units="metric",0.45359237,1/0.45359237))-ROUNDDOWN((Recipe!J22+Recipe!K22/(IF(Units="metric",16,1000)))*(IF(Units="metric",0.45359237, 1/0.45359237)),0))*(IF(Units="metric",1000,16))</f>
        <v>0</v>
      </c>
      <c r="L22" s="278">
        <f t="shared" si="0"/>
        <v>0</v>
      </c>
      <c r="M22" s="27">
        <f t="shared" si="1"/>
        <v>0</v>
      </c>
      <c r="N22" s="197">
        <f>IF(C22=0,,(VLOOKUP(C22,Fermentables!B:D,2)/IF(Units="metric",0.45359237,1)))</f>
        <v>0</v>
      </c>
      <c r="O22" s="28">
        <f t="shared" si="2"/>
        <v>0</v>
      </c>
      <c r="Q22" s="214">
        <f>Recipe!Q22</f>
        <v>0</v>
      </c>
      <c r="R22" s="593">
        <f>Recipe!R22</f>
        <v>0</v>
      </c>
      <c r="S22" s="594">
        <f>Recipe!S22</f>
        <v>0</v>
      </c>
      <c r="T22" s="215">
        <f>Recipe!T22</f>
        <v>0</v>
      </c>
      <c r="U22" s="215">
        <f>Recipe!U22</f>
        <v>0</v>
      </c>
      <c r="V22" s="258">
        <f>Recipe!V22*IF(Recipe!HopUnits="oz",28.349523125,1/28.349523125)</f>
        <v>0</v>
      </c>
      <c r="W22" s="33">
        <f t="shared" si="3"/>
        <v>0</v>
      </c>
      <c r="X22" s="200">
        <f t="shared" si="4"/>
        <v>0</v>
      </c>
    </row>
    <row r="23" spans="2:34" ht="15" customHeight="1" x14ac:dyDescent="0.25">
      <c r="B23" s="313">
        <f>Recipe!B23</f>
        <v>0</v>
      </c>
      <c r="C23" s="601">
        <f>Recipe!C23</f>
        <v>0</v>
      </c>
      <c r="D23" s="602"/>
      <c r="E23" s="602"/>
      <c r="F23" s="602"/>
      <c r="G23" s="602"/>
      <c r="H23" s="603"/>
      <c r="I23" s="444">
        <f>IF(C23=0,,VLOOKUP(C23,Fermentables!B:D,3))</f>
        <v>0</v>
      </c>
      <c r="J23" s="272">
        <f>ROUNDDOWN((Recipe!J23+Recipe!K23/(IF(Units="metric",16,1000)))*(IF(Units="metric",0.45359237, 1/0.45359237)),0)</f>
        <v>0</v>
      </c>
      <c r="K23" s="272">
        <f>((Recipe!J23+Recipe!K23/(IF(Units="metric",16,1000)))*(IF(Units="metric",0.45359237,1/0.45359237))-ROUNDDOWN((Recipe!J23+Recipe!K23/(IF(Units="metric",16,1000)))*(IF(Units="metric",0.45359237, 1/0.45359237)),0))*(IF(Units="metric",1000,16))</f>
        <v>0</v>
      </c>
      <c r="L23" s="278">
        <f t="shared" si="0"/>
        <v>0</v>
      </c>
      <c r="M23" s="27">
        <f t="shared" si="1"/>
        <v>0</v>
      </c>
      <c r="N23" s="197">
        <f>IF(C23=0,,(VLOOKUP(C23,Fermentables!B:D,2)/IF(Units="metric",0.45359237,1)))</f>
        <v>0</v>
      </c>
      <c r="O23" s="28">
        <f t="shared" si="2"/>
        <v>0</v>
      </c>
      <c r="Q23" s="214">
        <f>Recipe!Q23</f>
        <v>0</v>
      </c>
      <c r="R23" s="593">
        <f>Recipe!R23</f>
        <v>0</v>
      </c>
      <c r="S23" s="594">
        <f>Recipe!S23</f>
        <v>0</v>
      </c>
      <c r="T23" s="215">
        <f>Recipe!T23</f>
        <v>0</v>
      </c>
      <c r="U23" s="215">
        <f>Recipe!U23</f>
        <v>0</v>
      </c>
      <c r="V23" s="258">
        <f>Recipe!V23*IF(Recipe!HopUnits="oz",28.349523125,1/28.349523125)</f>
        <v>0</v>
      </c>
      <c r="W23" s="33">
        <f t="shared" si="3"/>
        <v>0</v>
      </c>
      <c r="X23" s="200">
        <f t="shared" si="4"/>
        <v>0</v>
      </c>
    </row>
    <row r="24" spans="2:34" ht="15" customHeight="1" x14ac:dyDescent="0.25">
      <c r="B24" s="313">
        <f>Recipe!B24</f>
        <v>0</v>
      </c>
      <c r="C24" s="601">
        <f>Recipe!C24</f>
        <v>0</v>
      </c>
      <c r="D24" s="602"/>
      <c r="E24" s="602"/>
      <c r="F24" s="602"/>
      <c r="G24" s="602"/>
      <c r="H24" s="603"/>
      <c r="I24" s="444">
        <f>IF(C24=0,,VLOOKUP(C24,Fermentables!B:D,3))</f>
        <v>0</v>
      </c>
      <c r="J24" s="272">
        <f>ROUNDDOWN((Recipe!J24+Recipe!K24/(IF(Units="metric",16,1000)))*(IF(Units="metric",0.45359237, 1/0.45359237)),0)</f>
        <v>0</v>
      </c>
      <c r="K24" s="272">
        <f>((Recipe!J24+Recipe!K24/(IF(Units="metric",16,1000)))*(IF(Units="metric",0.45359237,1/0.45359237))-ROUNDDOWN((Recipe!J24+Recipe!K24/(IF(Units="metric",16,1000)))*(IF(Units="metric",0.45359237, 1/0.45359237)),0))*(IF(Units="metric",1000,16))</f>
        <v>0</v>
      </c>
      <c r="L24" s="278">
        <f t="shared" si="0"/>
        <v>0</v>
      </c>
      <c r="M24" s="27">
        <f t="shared" si="1"/>
        <v>0</v>
      </c>
      <c r="N24" s="197">
        <f>IF(C24=0,,(VLOOKUP(C24,Fermentables!B:D,2)/IF(Units="metric",0.45359237,1)))</f>
        <v>0</v>
      </c>
      <c r="O24" s="28">
        <f t="shared" si="2"/>
        <v>0</v>
      </c>
      <c r="Q24" s="214">
        <f>Recipe!Q24</f>
        <v>0</v>
      </c>
      <c r="R24" s="593">
        <f>Recipe!R24</f>
        <v>0</v>
      </c>
      <c r="S24" s="594">
        <f>Recipe!S24</f>
        <v>0</v>
      </c>
      <c r="T24" s="215">
        <f>Recipe!T24</f>
        <v>0</v>
      </c>
      <c r="U24" s="215">
        <f>Recipe!U24</f>
        <v>0</v>
      </c>
      <c r="V24" s="258">
        <f>Recipe!V24*IF(Recipe!HopUnits="oz",28.349523125,1/28.349523125)</f>
        <v>0</v>
      </c>
      <c r="W24" s="33">
        <f t="shared" si="3"/>
        <v>0</v>
      </c>
      <c r="X24" s="200">
        <f t="shared" si="4"/>
        <v>0</v>
      </c>
    </row>
    <row r="25" spans="2:34" ht="15" customHeight="1" x14ac:dyDescent="0.25">
      <c r="B25" s="313">
        <f>Recipe!B25</f>
        <v>0</v>
      </c>
      <c r="C25" s="601">
        <f>Recipe!C25</f>
        <v>0</v>
      </c>
      <c r="D25" s="602"/>
      <c r="E25" s="602"/>
      <c r="F25" s="602"/>
      <c r="G25" s="602"/>
      <c r="H25" s="603"/>
      <c r="I25" s="444">
        <f>IF(C25=0,,VLOOKUP(C25,Fermentables!B:D,3))</f>
        <v>0</v>
      </c>
      <c r="J25" s="272">
        <f>ROUNDDOWN((Recipe!J25+Recipe!K25/(IF(Units="metric",16,1000)))*(IF(Units="metric",0.45359237, 1/0.45359237)),0)</f>
        <v>0</v>
      </c>
      <c r="K25" s="272">
        <f>((Recipe!J25+Recipe!K25/(IF(Units="metric",16,1000)))*(IF(Units="metric",0.45359237,1/0.45359237))-ROUNDDOWN((Recipe!J25+Recipe!K25/(IF(Units="metric",16,1000)))*(IF(Units="metric",0.45359237, 1/0.45359237)),0))*(IF(Units="metric",1000,16))</f>
        <v>0</v>
      </c>
      <c r="L25" s="278">
        <f t="shared" si="0"/>
        <v>0</v>
      </c>
      <c r="M25" s="27">
        <f t="shared" si="1"/>
        <v>0</v>
      </c>
      <c r="N25" s="197">
        <f>IF(C25=0,,(VLOOKUP(C25,Fermentables!B:D,2)/IF(Units="metric",0.45359237,1)))</f>
        <v>0</v>
      </c>
      <c r="O25" s="28">
        <f t="shared" si="2"/>
        <v>0</v>
      </c>
      <c r="Q25" s="214">
        <f>Recipe!Q25</f>
        <v>0</v>
      </c>
      <c r="R25" s="593">
        <f>Recipe!R25</f>
        <v>0</v>
      </c>
      <c r="S25" s="594">
        <f>Recipe!S25</f>
        <v>0</v>
      </c>
      <c r="T25" s="215">
        <f>Recipe!T25</f>
        <v>0</v>
      </c>
      <c r="U25" s="215">
        <f>Recipe!U25</f>
        <v>0</v>
      </c>
      <c r="V25" s="258">
        <f>Recipe!V25*IF(Recipe!HopUnits="oz",28.349523125,1/28.349523125)</f>
        <v>0</v>
      </c>
      <c r="W25" s="33">
        <f t="shared" ref="W25" si="5">T25*100*V25/IF(HopUnits="grams",28.3495231,1)</f>
        <v>0</v>
      </c>
      <c r="X25" s="200">
        <f t="shared" ref="X25" si="6">IF(OR(Volume=0,OriginalGravity=0,Q25="flame out"),,IF(Q25="dry hops",,IF(HopCalc="Rager",IF(U25="pellet",1.1,1)*IF(Q25="Mash",0.2,1)*IF(Q25="FWH",1.1,1)*V25*T25*1000*IF(HopUnits="grams",1,28.349523125)*IF(Units="metric",1,0.264172052358)*((18.11+13.86*TANH((IF(OR(Q25="FWH",Q25="mash"),BoilTime,Q25)-31.32)/18.27))/100)/(Volume*(1+(OriginalGravity-1.05)/0.2)),IF(U25="pellet",1.1,1)*IF(Q25="Mash",0.2,1)*IF(Q25="FWH",1.1,1)*(T25*V25*1000*IF(HopUnits="grams",1,28.349523125)*IF(Units="metric",1,0.264172052358)/Volume)*((1-EXP(-0.04*IF(OR(Q25="FWH",Q25="mash"),BoilTime,Q25)))/4.15)*(1.65*0.000125^(OriginalGravity-1)))))</f>
        <v>0</v>
      </c>
    </row>
    <row r="26" spans="2:34" ht="15" customHeight="1" x14ac:dyDescent="0.25">
      <c r="B26" s="313">
        <f>Recipe!B26</f>
        <v>0</v>
      </c>
      <c r="C26" s="601">
        <f>Recipe!C26</f>
        <v>0</v>
      </c>
      <c r="D26" s="602"/>
      <c r="E26" s="602"/>
      <c r="F26" s="602"/>
      <c r="G26" s="602"/>
      <c r="H26" s="603"/>
      <c r="I26" s="445">
        <f>IF(C26=0,,VLOOKUP(C26,Fermentables!B:D,3))</f>
        <v>0</v>
      </c>
      <c r="J26" s="272">
        <f>ROUNDDOWN((Recipe!J26+Recipe!K26/(IF(Units="metric",16,1000)))*(IF(Units="metric",0.45359237, 1/0.45359237)),0)</f>
        <v>0</v>
      </c>
      <c r="K26" s="272">
        <f>((Recipe!J26+Recipe!K26/(IF(Units="metric",16,1000)))*(IF(Units="metric",0.45359237,1/0.45359237))-ROUNDDOWN((Recipe!J26+Recipe!K26/(IF(Units="metric",16,1000)))*(IF(Units="metric",0.45359237, 1/0.45359237)),0))*(IF(Units="metric",1000,16))</f>
        <v>0</v>
      </c>
      <c r="L26" s="278">
        <f t="shared" si="0"/>
        <v>0</v>
      </c>
      <c r="M26" s="27">
        <f t="shared" si="1"/>
        <v>0</v>
      </c>
      <c r="N26" s="197">
        <f>IF(C26=0,,(VLOOKUP(C26,Fermentables!B:D,2)/IF(Units="metric",0.45359237,1)))</f>
        <v>0</v>
      </c>
      <c r="O26" s="28">
        <f t="shared" si="2"/>
        <v>0</v>
      </c>
      <c r="Q26" s="396">
        <f>Recipe!Q26</f>
        <v>0</v>
      </c>
      <c r="R26" s="597">
        <f>Recipe!R26</f>
        <v>0</v>
      </c>
      <c r="S26" s="598">
        <f>Recipe!S26</f>
        <v>0</v>
      </c>
      <c r="T26" s="217">
        <f>Recipe!T26</f>
        <v>0</v>
      </c>
      <c r="U26" s="217">
        <f>Recipe!U26</f>
        <v>0</v>
      </c>
      <c r="V26" s="258">
        <f>Recipe!V26*IF(Recipe!HopUnits="oz",28.349523125,1/28.349523125)</f>
        <v>0</v>
      </c>
      <c r="W26" s="33">
        <f>T26*100*V26/IF(HopUnits="grams",28.3495231,1)</f>
        <v>0</v>
      </c>
      <c r="X26" s="200">
        <f>IF(OR(Volume=0,OriginalGravity=0,Q26="flame out"),,IF(Q26="dry hops",,IF(HopCalc="Rager",IF(U26="pellet",1.1,1)*IF(Q26="Mash",0.2,1)*IF(Q26="FWH",1.1,1)*V26*T26*1000*IF(HopUnits="grams",1,28.349523125)*IF(Units="metric",1,0.264172052358)*((18.11+13.86*TANH((IF(OR(Q26="FWH",Q26="mash"),BoilTime,Q26)-31.32)/18.27))/100)/(Volume*(1+(OriginalGravity-1.05)/0.2)),IF(U26="pellet",1.1,1)*IF(Q26="Mash",0.2,1)*IF(Q26="FWH",1.1,1)*(T26*V26*1000*IF(HopUnits="grams",1,28.349523125)*IF(Units="metric",1,0.264172052358)/Volume)*((1-EXP(-0.04*IF(OR(Q26="FWH",Q26="mash"),BoilTime,Q26)))/4.15)*(1.65*0.000125^(OriginalGravity-1)))))</f>
        <v>0</v>
      </c>
    </row>
    <row r="27" spans="2:34" ht="15" customHeight="1" thickBot="1" x14ac:dyDescent="0.3">
      <c r="B27" s="257" t="str">
        <f>IF(Units="metric","Grains (kg):","Grains (lbs):")</f>
        <v>Grains (kg):</v>
      </c>
      <c r="C27" s="251">
        <f>SUM(SUMIF(B11:B26,{"Pale","Vienna","Munich","NonBarley","Caramel","Toasted","Roasted","Dextrin","Acid","Flaked","Smoked"},J11:J26))+SUM(SUMIF(B11:B26,{"Pale","Vienna","Munich","NonBarley","Caramel","Toasted","Roasted","Dextrin","Acid","Flaked","Smoked"},K11:K26))/IF(Units="metric",1000,16)</f>
        <v>9.808935001250001</v>
      </c>
      <c r="D27" s="61"/>
      <c r="E27" s="250" t="str">
        <f>IF(Units="metric","Sugars/Extracts (kg):","Sugars/Extracts (lbs):")</f>
        <v>Sugars/Extracts (kg):</v>
      </c>
      <c r="F27" s="251">
        <f>SUM(SUMIF(B11:B26,{"Extract","Adjunct"},J11:J26))+SUM(SUMIF(B11:B26,{"Extract","Adjunct"},K11:K26))/IF(Units="metric",1000,16)</f>
        <v>0</v>
      </c>
      <c r="G27" s="61"/>
      <c r="H27" s="61"/>
      <c r="I27" s="29"/>
      <c r="J27" s="253" t="str">
        <f>IF(Units="metric","Total Fermentables (kg):","Total Fermentables (lbs):")</f>
        <v>Total Fermentables (kg):</v>
      </c>
      <c r="K27" s="440">
        <f>SUM(Mass,F27)</f>
        <v>9.808935001250001</v>
      </c>
      <c r="L27" s="256">
        <f>SUM(L11:L26)</f>
        <v>0.99999999999999989</v>
      </c>
      <c r="M27" s="254">
        <f>1+SUM(M11:M26)</f>
        <v>1.0571272727272727</v>
      </c>
      <c r="N27" s="34"/>
      <c r="O27" s="255"/>
      <c r="Q27" s="439"/>
      <c r="R27" s="61"/>
      <c r="S27" s="22"/>
      <c r="T27" s="22"/>
      <c r="U27" s="23"/>
      <c r="V27" s="24" t="s">
        <v>55</v>
      </c>
      <c r="W27" s="25">
        <f>SUM(W11:W26)</f>
        <v>45.600000040212322</v>
      </c>
      <c r="X27" s="177">
        <f>SUM(X11:X26)</f>
        <v>49.790627349414272</v>
      </c>
    </row>
    <row r="28" spans="2:34" ht="15" customHeight="1" x14ac:dyDescent="0.25">
      <c r="J28" s="178"/>
      <c r="K28" s="18"/>
      <c r="N28" s="178"/>
      <c r="O28" s="178"/>
    </row>
    <row r="29" spans="2:34" ht="15" customHeight="1" thickBot="1" x14ac:dyDescent="0.35">
      <c r="B29" s="338" t="s">
        <v>1021</v>
      </c>
      <c r="Q29" s="339" t="s">
        <v>1027</v>
      </c>
      <c r="S29" s="26"/>
      <c r="T29" s="8"/>
    </row>
    <row r="30" spans="2:34" ht="15" customHeight="1" x14ac:dyDescent="0.25">
      <c r="B30" s="158"/>
      <c r="C30" s="157" t="str">
        <f>IF(Units="metric","Mash °C", "Mash °F")</f>
        <v>Mash °C</v>
      </c>
      <c r="D30" s="352" t="s">
        <v>49</v>
      </c>
      <c r="E30" s="157" t="str">
        <f>IF(Units="metric","H2O °C", "H2O °F")</f>
        <v>H2O °C</v>
      </c>
      <c r="F30" s="157" t="str">
        <f>IF(Units="metric","Liters", "Gallons")</f>
        <v>Liters</v>
      </c>
      <c r="G30" s="157" t="str">
        <f>IF(Units="metric","Kgs", "Pounds")</f>
        <v>Kgs</v>
      </c>
      <c r="H30" s="327" t="s">
        <v>1026</v>
      </c>
      <c r="I30" s="329" t="s">
        <v>1024</v>
      </c>
      <c r="J30" s="355"/>
      <c r="Q30" s="158"/>
      <c r="R30" s="408" t="str">
        <f>IF(Units="Metric", "Mash Tun Loss (L):", "Mash Tun Loss (gal):")</f>
        <v>Mash Tun Loss (L):</v>
      </c>
      <c r="S30" s="361">
        <f>Recipe!S30</f>
        <v>0.25</v>
      </c>
      <c r="T30" s="42"/>
      <c r="U30" s="42"/>
      <c r="V30" s="327" t="str">
        <f>IF(Units="Metric", "1st Runnings Vol (L):","1st Runnings Vol (gal):")</f>
        <v>1st Runnings Vol (L):</v>
      </c>
      <c r="W30" s="358">
        <f>IF(F31=0,,SUM(F31:F33)-Mass*Grain_absorption-S30)</f>
        <v>24.307858948700002</v>
      </c>
    </row>
    <row r="31" spans="2:34" s="11" customFormat="1" ht="15" customHeight="1" x14ac:dyDescent="0.25">
      <c r="B31" s="160" t="s">
        <v>50</v>
      </c>
      <c r="C31" s="260">
        <f>IF(Recipe!C31=0,,IF(Units="metric",(Recipe!C31-32)*5/9,(Recipe!C31*9/5)+32))</f>
        <v>67.777777777777771</v>
      </c>
      <c r="D31" s="259">
        <f>Recipe!D31*IF(Units="metric",0.946352946/0.45359237,0.45359237/0.946352946)</f>
        <v>3.3381617808077326</v>
      </c>
      <c r="E31" s="62">
        <f>IF(OR(C31=0,D31=0),,((IF(Units="metric",0.417270222601,0.2))/D31)*(C31-Grain_Temp)+C31)</f>
        <v>73.611111111111569</v>
      </c>
      <c r="F31" s="380">
        <f>IF(C31=0,,Mass*D31/IF(Units="metric",1,4))</f>
        <v>32.7438119316</v>
      </c>
      <c r="G31" s="388">
        <f>IF(Units="metric",F31,F31*8.345404)</f>
        <v>32.7438119316</v>
      </c>
      <c r="H31" s="371">
        <f>IF(Units="metric",(Mass/0.45359237)*0.2971+F31,Mass*0.07812+F31)</f>
        <v>39.168599431600001</v>
      </c>
      <c r="I31" s="353">
        <f>Recipe!Grain_absorption*IF(Units="metric",3.785411784/0.45359237,0.45359237/3.785411784)</f>
        <v>0.83454044520193316</v>
      </c>
      <c r="J31" s="333" t="str">
        <f>IF(Units="metric", "(L/kg)", "(gal/lb)")</f>
        <v>(L/kg)</v>
      </c>
      <c r="K31" s="220"/>
      <c r="L31" s="12"/>
      <c r="M31" s="8"/>
      <c r="N31" s="8"/>
      <c r="O31" s="8"/>
      <c r="Q31" s="161"/>
      <c r="R31" s="220" t="str">
        <f>IF(Units="Metric","Hop Absorption (L):","Hop Absorption (gal):")</f>
        <v>Hop Absorption (L):</v>
      </c>
      <c r="S31" s="357">
        <f>IF(Units="Metric",SUMIF(U11:U26,"Pellet",(V11:V26))*0.00667630351413357+SUMIF(U11:U26,"Whole",(V11:V26))*0.0133526070282671,SUMIF(U11:U26,"Pellet",(V11:V26))*0.05+SUMIF(U11:U26,"Whole",(V11:V26))*0.1)</f>
        <v>1.5141601669075873</v>
      </c>
      <c r="T31" s="10"/>
      <c r="U31" s="10"/>
      <c r="V31" s="220" t="str">
        <f>IF(Units="Metric", "2nd Runnings Vol (L):","2nd Runnings Vol (gal):")</f>
        <v>2nd Runnings Vol (L):</v>
      </c>
      <c r="W31" s="359">
        <f>F34</f>
        <v>22.901741268999999</v>
      </c>
    </row>
    <row r="32" spans="2:34" ht="15" customHeight="1" x14ac:dyDescent="0.25">
      <c r="B32" s="160" t="s">
        <v>51</v>
      </c>
      <c r="C32" s="261">
        <f>IF(Recipe!C32=0,,IF(Units="metric",(Recipe!C32-32)*5/9,(Recipe!C32*9/5)+32))</f>
        <v>0</v>
      </c>
      <c r="D32" s="371">
        <f>IF(Mass=0,,(F31+F32)*IF(Units="metric",1,4)/Mass)</f>
        <v>3.3381617808077322</v>
      </c>
      <c r="E32" s="350">
        <f>IF(Recipe!E32=0,,IF(Units="metric",(Recipe!E32-32)*5/9,(Recipe!E32*9/5)+32))</f>
        <v>0</v>
      </c>
      <c r="F32" s="357">
        <f>IF(OR(C31=0,C32=0,C32=C31),,(C32-C31)*((IF(Units="metric",0.417270222601,0.05))*Mass+F31)/(E32-C32))</f>
        <v>0</v>
      </c>
      <c r="G32" s="389">
        <f>IF(Units="metric",F32,F32*8.345404)</f>
        <v>0</v>
      </c>
      <c r="H32" s="357">
        <f>IF(F32=0,,IF(Units="metric",(Mass/0.45359237)*0.2971+F31+F32,Mass*0.07812+F31+F32))</f>
        <v>0</v>
      </c>
      <c r="I32" s="354" t="s">
        <v>1023</v>
      </c>
      <c r="J32" s="165"/>
      <c r="K32" s="11"/>
      <c r="L32" s="11"/>
      <c r="M32" s="11"/>
      <c r="N32" s="11"/>
      <c r="O32" s="11"/>
      <c r="P32" s="10"/>
      <c r="Q32" s="345"/>
      <c r="R32" s="220" t="str">
        <f>IF(Units="Metric","Kettle Loss (L):","Kettle Loss (gal):")</f>
        <v>Kettle Loss (L):</v>
      </c>
      <c r="S32" s="357">
        <f>Recipe!S32</f>
        <v>0.5</v>
      </c>
      <c r="T32" s="10"/>
      <c r="U32" s="346"/>
      <c r="V32" s="220" t="str">
        <f>IF(Units="Metric", "Preboil, Target (L):","Preboil, Target (gal):")</f>
        <v>Preboil, Target (L):</v>
      </c>
      <c r="W32" s="359">
        <f>Volume*S33*BoilTime/60+Volume</f>
        <v>45.803482538000004</v>
      </c>
      <c r="Z32" s="10"/>
      <c r="AA32" s="10"/>
      <c r="AB32" s="10"/>
      <c r="AC32" s="10"/>
      <c r="AD32" s="10"/>
      <c r="AE32" s="10"/>
      <c r="AF32" s="10"/>
      <c r="AG32" s="10"/>
      <c r="AH32" s="10"/>
    </row>
    <row r="33" spans="2:34" ht="15" customHeight="1" x14ac:dyDescent="0.25">
      <c r="B33" s="334" t="s">
        <v>52</v>
      </c>
      <c r="C33" s="261">
        <f>IF(Recipe!C33=0,,IF(Units="metric",(Recipe!C33-32)*5/9,(Recipe!C33*9/5)+32))</f>
        <v>0</v>
      </c>
      <c r="D33" s="357">
        <f>IF(Mass=0,,(F31+F32+F33)*IF(Units="metric",1,4)/Mass)</f>
        <v>3.3381617808077322</v>
      </c>
      <c r="E33" s="351">
        <f>IF(Recipe!E33=0,,IF(Units="metric",(Recipe!E33-32)*5/9,(Recipe!E33*9/5)+32))</f>
        <v>0</v>
      </c>
      <c r="F33" s="387">
        <f>IF(OR(C31=0,C32=0,C33=0,C33=C32),,(C33-C32)*((IF(Units="metric",0.417270222601,0.05))*Mass+F32+F31)/(E33-C33))</f>
        <v>0</v>
      </c>
      <c r="G33" s="389">
        <f>IF(Units="metric",F33,F33*8.345404)</f>
        <v>0</v>
      </c>
      <c r="H33" s="357">
        <f>IF(F33=0,,IF(Units="metric",(Mass/0.45359237)*0.2971+F31+F32+F33,Mass*0.07812+F31+F32+F33))</f>
        <v>0</v>
      </c>
      <c r="I33" s="62">
        <f>IF(Units="metric",(Recipe!Grain_Temp-32)*5/9,(Recipe!Grain_Temp*9/5)+32)</f>
        <v>21.111111111111111</v>
      </c>
      <c r="J33" s="333" t="str">
        <f>IF(Units="metric", "(°C)", "(°F)")</f>
        <v>(°C)</v>
      </c>
      <c r="P33" s="10"/>
      <c r="Q33" s="161"/>
      <c r="R33" s="220" t="s">
        <v>1033</v>
      </c>
      <c r="S33" s="362">
        <f>Recipe!S33</f>
        <v>0.1</v>
      </c>
      <c r="T33" s="10"/>
      <c r="U33" s="10"/>
      <c r="V33" s="220" t="str">
        <f>IF(Units="Metric", "Preboil, Actual (L):","Preboil, Actual (gal):")</f>
        <v>Preboil, Actual (L):</v>
      </c>
      <c r="W33" s="359">
        <f>IF(W30=0,,W30+F34)</f>
        <v>47.2096002177</v>
      </c>
      <c r="Z33" s="10"/>
      <c r="AA33" s="10"/>
      <c r="AB33" s="10"/>
      <c r="AC33" s="10"/>
      <c r="AD33" s="10"/>
      <c r="AE33" s="10"/>
      <c r="AF33" s="10"/>
      <c r="AG33" s="10"/>
      <c r="AH33" s="10"/>
    </row>
    <row r="34" spans="2:34" ht="15" customHeight="1" thickBot="1" x14ac:dyDescent="0.3">
      <c r="B34" s="164" t="s">
        <v>53</v>
      </c>
      <c r="C34" s="264">
        <f>IF(Recipe!C34=0,,IF(Units="metric",(Recipe!C34-32)*5/9,(Recipe!C34*9/5)+32))</f>
        <v>75.555555555555557</v>
      </c>
      <c r="D34" s="372">
        <f>IF(Mass=0,,F34*IF(Units="metric",1,4)/Mass)</f>
        <v>2.3347836708145704</v>
      </c>
      <c r="E34" s="391">
        <f>IF(OR(Mass=0,C34=0,F34=0),,((IF(Units="metric",0.417270222601,0.2))/(4*F34/Mass))*(C34-(MAX(C31:C33)))+C34)</f>
        <v>75.903064738659253</v>
      </c>
      <c r="F34" s="356">
        <f>Recipe!F34*IF(Units="metric",3.78541178,1/3.78541178)</f>
        <v>22.901741268999999</v>
      </c>
      <c r="G34" s="390">
        <f>IF(Units="metric",F34,F34*8.345404)</f>
        <v>22.901741268999999</v>
      </c>
      <c r="H34" s="372">
        <f>IF(Units="metric",(Mass/0.45359237)*0.2971+F34,Mass*0.07812+F34)</f>
        <v>29.326528768999999</v>
      </c>
      <c r="I34" s="15"/>
      <c r="J34" s="219"/>
      <c r="P34" s="10"/>
      <c r="Q34" s="218"/>
      <c r="R34" s="328" t="s">
        <v>1020</v>
      </c>
      <c r="S34" s="363">
        <f>Recipe!S34</f>
        <v>60</v>
      </c>
      <c r="T34" s="15"/>
      <c r="U34" s="15"/>
      <c r="V34" s="328" t="str">
        <f>IF(Units="Metric","scale recipe to (L):","Scale recipe to (gal):")</f>
        <v>scale recipe to (L):</v>
      </c>
      <c r="W34" s="386">
        <f>(Volume+S32)/((Volume-S31)/Volume)</f>
        <v>43.729695554183927</v>
      </c>
      <c r="Z34" s="10"/>
      <c r="AA34" s="220"/>
      <c r="AB34" s="10"/>
      <c r="AC34" s="10"/>
      <c r="AD34" s="220"/>
      <c r="AE34" s="32"/>
      <c r="AF34" s="10"/>
      <c r="AG34" s="10"/>
      <c r="AH34" s="10"/>
    </row>
    <row r="35" spans="2:34" ht="15" customHeight="1" x14ac:dyDescent="0.25">
      <c r="P35" s="10"/>
      <c r="Z35" s="10"/>
      <c r="AA35" s="220"/>
      <c r="AB35" s="12"/>
      <c r="AC35" s="10"/>
      <c r="AD35" s="220"/>
      <c r="AE35" s="32"/>
      <c r="AF35" s="10"/>
      <c r="AG35" s="10"/>
      <c r="AH35" s="10"/>
    </row>
    <row r="36" spans="2:34" ht="15" customHeight="1" thickBot="1" x14ac:dyDescent="0.35">
      <c r="B36" s="339" t="s">
        <v>63</v>
      </c>
      <c r="C36" s="26"/>
      <c r="D36" s="26"/>
      <c r="E36" s="26"/>
      <c r="F36" s="10"/>
      <c r="G36" s="10"/>
      <c r="H36" s="10"/>
      <c r="P36" s="10"/>
      <c r="Q36" s="336" t="s">
        <v>23</v>
      </c>
      <c r="R36" s="15"/>
      <c r="S36" s="15"/>
      <c r="T36" s="15"/>
      <c r="U36" s="15"/>
      <c r="V36" s="15"/>
      <c r="W36" s="15"/>
      <c r="X36" s="15"/>
      <c r="Z36" s="10"/>
      <c r="AA36" s="10"/>
      <c r="AB36" s="10"/>
      <c r="AC36" s="10"/>
      <c r="AD36" s="10"/>
      <c r="AE36" s="10"/>
      <c r="AF36" s="10"/>
      <c r="AG36" s="10"/>
      <c r="AH36" s="10"/>
    </row>
    <row r="37" spans="2:34" ht="15" customHeight="1" x14ac:dyDescent="0.25">
      <c r="B37" s="621" t="str">
        <f>Recipe!B37</f>
        <v>1056 American Ale</v>
      </c>
      <c r="C37" s="622"/>
      <c r="D37" s="622"/>
      <c r="E37" s="622"/>
      <c r="F37" s="622"/>
      <c r="G37" s="622"/>
      <c r="H37" s="42"/>
      <c r="I37" s="413" t="s">
        <v>21</v>
      </c>
      <c r="J37" s="394">
        <f>Recipe!J37</f>
        <v>0.75</v>
      </c>
      <c r="Q37" s="158"/>
      <c r="R37" s="157" t="s">
        <v>30</v>
      </c>
      <c r="S37" s="157" t="s">
        <v>31</v>
      </c>
      <c r="T37" s="157" t="s">
        <v>32</v>
      </c>
      <c r="U37" s="157" t="s">
        <v>33</v>
      </c>
      <c r="V37" s="157" t="s">
        <v>34</v>
      </c>
      <c r="W37" s="157" t="s">
        <v>35</v>
      </c>
      <c r="X37" s="159" t="s">
        <v>36</v>
      </c>
    </row>
    <row r="38" spans="2:34" ht="15" customHeight="1" thickBot="1" x14ac:dyDescent="0.3">
      <c r="B38" s="441" t="str">
        <f>Recipe!B38</f>
        <v>Ale</v>
      </c>
      <c r="C38" s="442"/>
      <c r="D38" s="412" t="s">
        <v>65</v>
      </c>
      <c r="E38" s="51">
        <f>IF(B37=0,,IF(B38="Ale",IF(Units="metric",750000*(Volume/3.78541178)*3785.411784*D6,750000*Volume*3785.411784*D6)/1000000000,IF(B38="Hybrid",IF(Units="metric",1000000*(Volume/3.78541178)*3785.411784*D6,1000000*Volume*3785.411784*D6)/1000000000,IF(Units="metric",1500000*(Volume/3.78541178)*3785.411784*D6/1000000000,1500000*Volume*3785.411784*D6/1000000000))))</f>
        <v>439.39532736000672</v>
      </c>
      <c r="F38" s="15"/>
      <c r="G38" s="412" t="s">
        <v>1025</v>
      </c>
      <c r="H38" s="370">
        <f>Recipe!H38</f>
        <v>125</v>
      </c>
      <c r="I38" s="412" t="s">
        <v>1030</v>
      </c>
      <c r="J38" s="201" t="str">
        <f>ROUND(IF(H38=0,,E38/(H38)),2)&amp;" L"</f>
        <v>3.52 L</v>
      </c>
      <c r="Q38" s="160" t="s">
        <v>37</v>
      </c>
      <c r="R38" s="206">
        <f>Recipe!R38</f>
        <v>24.666666666666668</v>
      </c>
      <c r="S38" s="206">
        <f>Recipe!S38</f>
        <v>8.3666666666666671</v>
      </c>
      <c r="T38" s="206">
        <f>Recipe!T38</f>
        <v>44.333333333333336</v>
      </c>
      <c r="U38" s="206">
        <f>Recipe!U38</f>
        <v>18</v>
      </c>
      <c r="V38" s="206">
        <f>Recipe!V38</f>
        <v>49</v>
      </c>
      <c r="W38" s="206">
        <f>Recipe!W38</f>
        <v>117.69739775587847</v>
      </c>
      <c r="X38" s="202">
        <f>IF(V38=0,,U38/V38)</f>
        <v>0.36734693877551022</v>
      </c>
    </row>
    <row r="39" spans="2:34" ht="15" customHeight="1" x14ac:dyDescent="0.25">
      <c r="Q39" s="160" t="s">
        <v>38</v>
      </c>
      <c r="R39" s="207">
        <f>Recipe!R39</f>
        <v>61.530666666666662</v>
      </c>
      <c r="S39" s="207">
        <f>Recipe!S39</f>
        <v>8.3666666666666671</v>
      </c>
      <c r="T39" s="207">
        <f>Recipe!T39</f>
        <v>44.333333333333336</v>
      </c>
      <c r="U39" s="207">
        <f>Recipe!U39</f>
        <v>106.476</v>
      </c>
      <c r="V39" s="207">
        <f>Recipe!V39</f>
        <v>49</v>
      </c>
      <c r="W39" s="207">
        <f>Recipe!W39</f>
        <v>117.69739775587847</v>
      </c>
      <c r="X39" s="203">
        <f>IF(V39=0,,U39/V39)</f>
        <v>2.1729795918367345</v>
      </c>
    </row>
    <row r="40" spans="2:34" ht="15" customHeight="1" thickBot="1" x14ac:dyDescent="0.35">
      <c r="B40" s="336" t="s">
        <v>71</v>
      </c>
      <c r="C40" s="13"/>
      <c r="D40" s="13"/>
      <c r="E40" s="13"/>
      <c r="F40" s="13"/>
      <c r="G40" s="13"/>
      <c r="H40" s="13"/>
      <c r="I40" s="13"/>
      <c r="J40" s="15"/>
      <c r="K40" s="15"/>
      <c r="L40" s="15"/>
      <c r="M40" s="15"/>
      <c r="Q40" s="522" t="s">
        <v>1647</v>
      </c>
      <c r="R40" s="523"/>
      <c r="S40" s="495" t="s">
        <v>1648</v>
      </c>
      <c r="T40" s="494">
        <f>Recipe!T40</f>
        <v>3.6</v>
      </c>
      <c r="U40" s="43" t="s">
        <v>1649</v>
      </c>
      <c r="V40" s="494">
        <f>Recipe!V40</f>
        <v>3</v>
      </c>
      <c r="W40" s="604" t="str">
        <f>IF(X39=0,,IF(X39&gt;2,"Very Bitter",IF(X39&gt;1.3,"Bitter",IF(X39&gt;0.75,"Balanced",IF(X39&gt;0.5,"Malty","Very Malty")))))</f>
        <v>Very Bitter</v>
      </c>
      <c r="X40" s="605"/>
    </row>
    <row r="41" spans="2:34" ht="15" customHeight="1" x14ac:dyDescent="0.25">
      <c r="B41" s="607">
        <f>Recipe!B41</f>
        <v>0</v>
      </c>
      <c r="C41" s="608"/>
      <c r="D41" s="608"/>
      <c r="E41" s="608"/>
      <c r="F41" s="608"/>
      <c r="G41" s="608"/>
      <c r="H41" s="608"/>
      <c r="I41" s="608"/>
      <c r="J41" s="608"/>
      <c r="K41" s="608"/>
      <c r="L41" s="608"/>
      <c r="M41" s="609"/>
      <c r="Q41" s="161"/>
      <c r="R41" s="314" t="s">
        <v>39</v>
      </c>
      <c r="S41" s="314" t="s">
        <v>40</v>
      </c>
      <c r="T41" s="314" t="s">
        <v>41</v>
      </c>
      <c r="U41" s="314" t="s">
        <v>42</v>
      </c>
      <c r="V41" s="314" t="s">
        <v>43</v>
      </c>
      <c r="W41" s="314" t="s">
        <v>44</v>
      </c>
      <c r="X41" s="299" t="s">
        <v>45</v>
      </c>
    </row>
    <row r="42" spans="2:34" ht="15" customHeight="1" x14ac:dyDescent="0.25">
      <c r="B42" s="607">
        <f>Recipe!B42</f>
        <v>0</v>
      </c>
      <c r="C42" s="608"/>
      <c r="D42" s="608"/>
      <c r="E42" s="608"/>
      <c r="F42" s="608"/>
      <c r="G42" s="608"/>
      <c r="H42" s="608"/>
      <c r="I42" s="608"/>
      <c r="J42" s="608"/>
      <c r="K42" s="608"/>
      <c r="L42" s="608"/>
      <c r="M42" s="609"/>
      <c r="Q42" s="160" t="s">
        <v>46</v>
      </c>
      <c r="R42" s="208">
        <f>Recipe!R42</f>
        <v>2.6</v>
      </c>
      <c r="S42" s="209">
        <f>Recipe!S42</f>
        <v>0</v>
      </c>
      <c r="T42" s="209">
        <f>Recipe!T42</f>
        <v>0</v>
      </c>
      <c r="U42" s="209">
        <f>Recipe!U42</f>
        <v>0</v>
      </c>
      <c r="V42" s="209">
        <f>Recipe!V42</f>
        <v>0</v>
      </c>
      <c r="W42" s="209">
        <f>Recipe!W42</f>
        <v>0</v>
      </c>
      <c r="X42" s="210">
        <f>Recipe!X42</f>
        <v>0</v>
      </c>
    </row>
    <row r="43" spans="2:34" ht="15" customHeight="1" x14ac:dyDescent="0.25">
      <c r="B43" s="607">
        <f>Recipe!B43</f>
        <v>0</v>
      </c>
      <c r="C43" s="608"/>
      <c r="D43" s="608"/>
      <c r="E43" s="608"/>
      <c r="F43" s="608"/>
      <c r="G43" s="608"/>
      <c r="H43" s="608"/>
      <c r="I43" s="608"/>
      <c r="J43" s="608"/>
      <c r="K43" s="608"/>
      <c r="L43" s="608"/>
      <c r="M43" s="609"/>
      <c r="Q43" s="160" t="s">
        <v>47</v>
      </c>
      <c r="R43" s="211">
        <f>Recipe!R43</f>
        <v>1.8</v>
      </c>
      <c r="S43" s="212">
        <f>Recipe!S43</f>
        <v>0</v>
      </c>
      <c r="T43" s="212">
        <f>Recipe!T43</f>
        <v>0</v>
      </c>
      <c r="U43" s="212">
        <f>Recipe!U43</f>
        <v>0</v>
      </c>
      <c r="V43" s="212">
        <f>Recipe!V43</f>
        <v>0</v>
      </c>
      <c r="W43" s="212">
        <f>Recipe!W43</f>
        <v>0</v>
      </c>
      <c r="X43" s="213">
        <f>Recipe!X43</f>
        <v>0</v>
      </c>
    </row>
    <row r="44" spans="2:34" ht="15" customHeight="1" thickBot="1" x14ac:dyDescent="0.3">
      <c r="B44" s="607">
        <f>Recipe!B44</f>
        <v>0</v>
      </c>
      <c r="C44" s="608"/>
      <c r="D44" s="608"/>
      <c r="E44" s="608"/>
      <c r="F44" s="608"/>
      <c r="G44" s="608"/>
      <c r="H44" s="608"/>
      <c r="I44" s="608"/>
      <c r="J44" s="608"/>
      <c r="K44" s="608"/>
      <c r="L44" s="608"/>
      <c r="M44" s="609"/>
      <c r="Q44" s="164" t="s">
        <v>48</v>
      </c>
      <c r="R44" s="70">
        <f>SUM(R42:R43)</f>
        <v>4.4000000000000004</v>
      </c>
      <c r="S44" s="71">
        <f t="shared" ref="S44:X44" si="7">SUM(S42:S43)</f>
        <v>0</v>
      </c>
      <c r="T44" s="71">
        <f t="shared" si="7"/>
        <v>0</v>
      </c>
      <c r="U44" s="71">
        <f t="shared" si="7"/>
        <v>0</v>
      </c>
      <c r="V44" s="71">
        <f t="shared" si="7"/>
        <v>0</v>
      </c>
      <c r="W44" s="71">
        <f t="shared" si="7"/>
        <v>0</v>
      </c>
      <c r="X44" s="199">
        <f t="shared" si="7"/>
        <v>0</v>
      </c>
    </row>
    <row r="45" spans="2:34" ht="15" customHeight="1" x14ac:dyDescent="0.25">
      <c r="B45" s="607">
        <f>Recipe!B45</f>
        <v>0</v>
      </c>
      <c r="C45" s="608"/>
      <c r="D45" s="608"/>
      <c r="E45" s="608"/>
      <c r="F45" s="608"/>
      <c r="G45" s="608"/>
      <c r="H45" s="608"/>
      <c r="I45" s="608"/>
      <c r="J45" s="608"/>
      <c r="K45" s="608"/>
      <c r="L45" s="608"/>
      <c r="M45" s="609"/>
    </row>
    <row r="46" spans="2:34" ht="15" customHeight="1" thickBot="1" x14ac:dyDescent="0.35">
      <c r="B46" s="607">
        <f>Recipe!B46</f>
        <v>0</v>
      </c>
      <c r="C46" s="608"/>
      <c r="D46" s="608"/>
      <c r="E46" s="608"/>
      <c r="F46" s="608"/>
      <c r="G46" s="608"/>
      <c r="H46" s="608"/>
      <c r="I46" s="608"/>
      <c r="J46" s="608"/>
      <c r="K46" s="608"/>
      <c r="L46" s="608"/>
      <c r="M46" s="609"/>
      <c r="Q46" s="336" t="s">
        <v>66</v>
      </c>
      <c r="R46" s="15"/>
      <c r="S46" s="15"/>
      <c r="T46" s="15"/>
      <c r="U46" s="15"/>
      <c r="V46" s="15"/>
      <c r="W46" s="15"/>
      <c r="X46" s="15"/>
    </row>
    <row r="47" spans="2:34" x14ac:dyDescent="0.25">
      <c r="B47" s="607">
        <f>Recipe!B47</f>
        <v>0</v>
      </c>
      <c r="C47" s="608"/>
      <c r="D47" s="608"/>
      <c r="E47" s="608"/>
      <c r="F47" s="608"/>
      <c r="G47" s="608"/>
      <c r="H47" s="608"/>
      <c r="I47" s="608"/>
      <c r="J47" s="608"/>
      <c r="K47" s="608"/>
      <c r="L47" s="608"/>
      <c r="M47" s="609"/>
      <c r="Q47" s="167" t="s">
        <v>67</v>
      </c>
      <c r="R47" s="216">
        <f>Recipe!R47</f>
        <v>2.5</v>
      </c>
      <c r="S47" s="596" t="str">
        <f>IF(Units="metric","Beer Vol (L)","Beer Vol (gal)")</f>
        <v>Beer Vol (L)</v>
      </c>
      <c r="T47" s="596"/>
      <c r="U47" s="263">
        <f>Recipe!BeerVol*IF(Units="metric",3.78541178,1/3.78541178)</f>
        <v>41.639529580000001</v>
      </c>
      <c r="V47" s="606" t="str">
        <f>IF(Units="metric","Beer Temp (C)","Beer Temp (F)")</f>
        <v>Beer Temp (C)</v>
      </c>
      <c r="W47" s="606"/>
      <c r="X47" s="262">
        <f>IF(Recipe!BeerTemp="",,IF(Units="metric",(Recipe!BeerTemp-32)*5/9,(Recipe!BeerTemp*9/5)+32))</f>
        <v>18.333333333333332</v>
      </c>
    </row>
    <row r="48" spans="2:34" x14ac:dyDescent="0.25">
      <c r="B48" s="607">
        <f>Recipe!B48</f>
        <v>0</v>
      </c>
      <c r="C48" s="608"/>
      <c r="D48" s="608"/>
      <c r="E48" s="608"/>
      <c r="F48" s="608"/>
      <c r="G48" s="608"/>
      <c r="H48" s="608"/>
      <c r="I48" s="608"/>
      <c r="J48" s="608"/>
      <c r="K48" s="608"/>
      <c r="L48" s="608"/>
      <c r="M48" s="609"/>
      <c r="Q48" s="160" t="str">
        <f>IF(Units="metric","g sugar","oz sugar")</f>
        <v>g sugar</v>
      </c>
      <c r="R48" s="48">
        <f>IF(OR(VolCO2=0,BeerTemp=0),,(VolCO2-(3.0378-(0.050062*IF(TempUnits="Beer Temp (C)",BeerTemp*9/5+32,BeerTemp))+(0.00026555*(IF(TempUnits="Beer Temp (C)",BeerTemp*9/5+32,BeerTemp))^2)))*IF(Sugar="Cane or table sugar (sucrose)", 3.82,(IF(Sugar="Corn sugar (glucose/dextrose)", 4.02,(IF(Sugar="DME Munton &amp; Fison (75% AA)", 6.8,(IF(Sugar="DME Northwestern (70% AA)", 7.2,(IF(Sugar="DME Laaglander (55% AA)", 9.3,))))))))))*BeerVol*IF(PrimingUnits="g sugar",1,0.03527396195)*IF(BeerVolUnits="Beer Vol (L)",1,3.785411784)</f>
        <v>266.86818749822186</v>
      </c>
      <c r="S48" s="10"/>
      <c r="T48" s="220" t="s">
        <v>68</v>
      </c>
      <c r="U48" s="599" t="str">
        <f>Recipe!U48</f>
        <v>Corn sugar (glucose/dextrose)</v>
      </c>
      <c r="V48" s="599">
        <f>Recipe!V48</f>
        <v>0</v>
      </c>
      <c r="W48" s="599">
        <f>Recipe!W48</f>
        <v>0</v>
      </c>
      <c r="X48" s="600">
        <f>Recipe!X48</f>
        <v>0</v>
      </c>
    </row>
    <row r="49" spans="2:24" ht="15.75" thickBot="1" x14ac:dyDescent="0.3">
      <c r="B49" s="615">
        <f>Recipe!B49</f>
        <v>0</v>
      </c>
      <c r="C49" s="616"/>
      <c r="D49" s="616"/>
      <c r="E49" s="616"/>
      <c r="F49" s="616"/>
      <c r="G49" s="616"/>
      <c r="H49" s="616"/>
      <c r="I49" s="616"/>
      <c r="J49" s="616"/>
      <c r="K49" s="616"/>
      <c r="L49" s="616"/>
      <c r="M49" s="617"/>
      <c r="Q49" s="164" t="s">
        <v>70</v>
      </c>
      <c r="R49" s="47">
        <f>IF(VolCO2=0,,-16.6999-0.0101059*IF(ServingUnits="Serving Temp (C)",ServingTemp*9/5+32,ServingTemp)+0.00116512*IF(ServingUnits="Serving Temp (C)",ServingTemp*9/5+32,ServingTemp)^2+0.173354*IF(ServingUnits="Serving Temp (C)",ServingTemp*9/5+32,ServingTemp)*VolCO2+4.24267*VolCO2-0.0684226*VolCO2^2)</f>
        <v>9.2175018700000013</v>
      </c>
      <c r="S49" s="592" t="str">
        <f>IF(Units="metric","Serving Temp (C)","Serving Temp (F)")</f>
        <v>Serving Temp (C)</v>
      </c>
      <c r="T49" s="592"/>
      <c r="U49" s="264">
        <f>IF(Recipe!ServingTemp=0,,IF(Units="metric",(Recipe!ServingTemp-32)*5/9,(Recipe!ServingTemp*9/5)+32))</f>
        <v>1.1111111111111112</v>
      </c>
      <c r="V49" s="44"/>
      <c r="W49" s="44"/>
      <c r="X49" s="170"/>
    </row>
  </sheetData>
  <sheetProtection sheet="1" selectLockedCells="1"/>
  <mergeCells count="54">
    <mergeCell ref="B49:M49"/>
    <mergeCell ref="J4:M4"/>
    <mergeCell ref="C14:H14"/>
    <mergeCell ref="C15:H15"/>
    <mergeCell ref="C16:H16"/>
    <mergeCell ref="C17:H17"/>
    <mergeCell ref="C18:H18"/>
    <mergeCell ref="C19:H19"/>
    <mergeCell ref="C20:H20"/>
    <mergeCell ref="C21:H21"/>
    <mergeCell ref="B37:G37"/>
    <mergeCell ref="B41:M41"/>
    <mergeCell ref="B42:M42"/>
    <mergeCell ref="B43:M43"/>
    <mergeCell ref="B44:M44"/>
    <mergeCell ref="B1:I2"/>
    <mergeCell ref="Q1:X2"/>
    <mergeCell ref="C11:H11"/>
    <mergeCell ref="C13:H13"/>
    <mergeCell ref="C12:H12"/>
    <mergeCell ref="R17:S17"/>
    <mergeCell ref="B46:M46"/>
    <mergeCell ref="B47:M47"/>
    <mergeCell ref="B45:M45"/>
    <mergeCell ref="R4:V4"/>
    <mergeCell ref="C10:H10"/>
    <mergeCell ref="R10:S10"/>
    <mergeCell ref="U48:X48"/>
    <mergeCell ref="R18:S18"/>
    <mergeCell ref="C22:H22"/>
    <mergeCell ref="C23:H23"/>
    <mergeCell ref="C24:H24"/>
    <mergeCell ref="C25:H25"/>
    <mergeCell ref="C26:H26"/>
    <mergeCell ref="W40:X40"/>
    <mergeCell ref="V47:W47"/>
    <mergeCell ref="B48:M48"/>
    <mergeCell ref="Q40:R40"/>
    <mergeCell ref="S49:T49"/>
    <mergeCell ref="R11:S11"/>
    <mergeCell ref="R12:S12"/>
    <mergeCell ref="R13:S13"/>
    <mergeCell ref="R14:S14"/>
    <mergeCell ref="R15:S15"/>
    <mergeCell ref="S47:T47"/>
    <mergeCell ref="R19:S19"/>
    <mergeCell ref="R20:S20"/>
    <mergeCell ref="R21:S21"/>
    <mergeCell ref="R26:S26"/>
    <mergeCell ref="R22:S22"/>
    <mergeCell ref="R23:S23"/>
    <mergeCell ref="R24:S24"/>
    <mergeCell ref="R25:S25"/>
    <mergeCell ref="R16:S16"/>
  </mergeCells>
  <dataValidations count="21">
    <dataValidation type="list" promptTitle="Choose a malt/adjunct" prompt=" " sqref="C11:C26" xr:uid="{00000000-0002-0000-0200-000000000000}">
      <formula1>INDIRECT(B11)</formula1>
    </dataValidation>
    <dataValidation type="list" allowBlank="1" showInputMessage="1" sqref="B38" xr:uid="{00000000-0002-0000-0200-000001000000}">
      <formula1>"Ale,Lager,Hybrid"</formula1>
    </dataValidation>
    <dataValidation type="list" allowBlank="1" showInputMessage="1" showErrorMessage="1" sqref="V10" xr:uid="{00000000-0002-0000-0200-000002000000}">
      <formula1>"oz,grams"</formula1>
    </dataValidation>
    <dataValidation type="list" allowBlank="1" showInputMessage="1" sqref="Q48" xr:uid="{00000000-0002-0000-0200-000003000000}">
      <formula1>"oz sugar,g sugar"</formula1>
    </dataValidation>
    <dataValidation type="list" allowBlank="1" showInputMessage="1" sqref="S49:T49" xr:uid="{00000000-0002-0000-0200-000004000000}">
      <formula1>"Serving Temp (F),Serving Temp (C)"</formula1>
    </dataValidation>
    <dataValidation type="list" allowBlank="1" showInputMessage="1" sqref="V47:W47" xr:uid="{00000000-0002-0000-0200-000005000000}">
      <formula1>"Beer Temp (F),Beer Temp (C)"</formula1>
    </dataValidation>
    <dataValidation type="list" allowBlank="1" showInputMessage="1" sqref="S47:T47" xr:uid="{00000000-0002-0000-0200-000006000000}">
      <formula1>"Beer Vol (gal),Beer Vol (L)"</formula1>
    </dataValidation>
    <dataValidation type="list" allowBlank="1" showInputMessage="1" showErrorMessage="1" sqref="U48" xr:uid="{00000000-0002-0000-0200-000007000000}">
      <formula1>"Cane or table sugar (sucrose),Corn sugar (glucose/dextrose),DME Munton &amp; Fison (75% AA),DME Northwestern (70% AA),DME Laaglander (55% AA)"</formula1>
    </dataValidation>
    <dataValidation type="list" allowBlank="1" showInputMessage="1" showErrorMessage="1" sqref="M7" xr:uid="{00000000-0002-0000-0200-000008000000}">
      <formula1>"Tinseth,Rager"</formula1>
    </dataValidation>
    <dataValidation type="list" allowBlank="1" showInputMessage="1" showErrorMessage="1" sqref="M5" xr:uid="{00000000-0002-0000-0200-00000B000000}">
      <formula1>"US, Metric"</formula1>
    </dataValidation>
    <dataValidation type="list" allowBlank="1" showErrorMessage="1" promptTitle="Choose a BJCP style" prompt=" " sqref="R4" xr:uid="{00000000-0002-0000-0200-00000C000000}">
      <formula1>Styles</formula1>
    </dataValidation>
    <dataValidation type="list" allowBlank="1" showErrorMessage="1" prompt=" " sqref="B37" xr:uid="{00000000-0002-0000-0200-00000E000000}">
      <formula1>Yeast</formula1>
    </dataValidation>
    <dataValidation type="list" promptTitle="Choose a malt/adjunct" prompt=" " sqref="B11:B26" xr:uid="{00000000-0002-0000-0200-00000F000000}">
      <formula1>"Pale,Vienna,Munich,NonBarley,Caramel,Toasted,Roasted,Dextrin,Acid,Flaked,Smoked,Extract,Adjunct"</formula1>
    </dataValidation>
    <dataValidation type="list" allowBlank="1" sqref="X41" xr:uid="{292D13A4-9A16-4B05-9438-82140B7599FE}">
      <formula1>"Chalk,Lime"</formula1>
    </dataValidation>
    <dataValidation type="list" allowBlank="1" showInputMessage="1" sqref="Q11:Q26" xr:uid="{00000000-0002-0000-0200-000009000000}">
      <formula1>"Mash, FWH, Dry Hops"</formula1>
    </dataValidation>
    <dataValidation type="list" allowBlank="1" showInputMessage="1" showErrorMessage="1" sqref="R11:R26" xr:uid="{00000000-0002-0000-0200-00000A000000}">
      <formula1>Hops</formula1>
    </dataValidation>
    <dataValidation type="list" allowBlank="1" showInputMessage="1" sqref="U11:U26" xr:uid="{00000000-0002-0000-0200-00000D000000}">
      <formula1>"Whole, Pellet"</formula1>
    </dataValidation>
    <dataValidation type="list" allowBlank="1" showInputMessage="1" showErrorMessage="1" sqref="M6" xr:uid="{CDFB4D6D-7FF0-46ED-8E13-F5648A6FCA28}">
      <formula1>"Efficiency,Weyermann,Morey,Daniels,Mosher"</formula1>
    </dataValidation>
    <dataValidation type="list" allowBlank="1" showInputMessage="1" showErrorMessage="1" sqref="F5" xr:uid="{83F995C4-AFFF-46FA-95D2-1B2241C9D1CE}">
      <formula1>"SRM:,EBC:"</formula1>
    </dataValidation>
    <dataValidation allowBlank="1" showInputMessage="1" sqref="C38" xr:uid="{71A75C24-5277-4242-B485-48343B924147}"/>
    <dataValidation type="list" allowBlank="1" showInputMessage="1" showErrorMessage="1" sqref="Q40:R40" xr:uid="{7F080799-E429-43F9-90D9-849EE96E6C2E}">
      <formula1>"lactic acid (ml),phosphoric acid (ml)"</formula1>
    </dataValidation>
  </dataValidations>
  <hyperlinks>
    <hyperlink ref="Q4" r:id="rId1" xr:uid="{00000000-0004-0000-0200-000000000000}"/>
  </hyperlinks>
  <printOptions horizontalCentered="1"/>
  <pageMargins left="0.17" right="0.17" top="0.6" bottom="1" header="0.5" footer="0.5"/>
  <pageSetup scale="77" orientation="landscape"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pageSetUpPr fitToPage="1"/>
  </sheetPr>
  <dimension ref="A1:AF49"/>
  <sheetViews>
    <sheetView showGridLines="0" showRowColHeaders="0" showZeros="0" zoomScale="85" zoomScaleNormal="85" workbookViewId="0">
      <selection activeCell="K5" sqref="K5"/>
    </sheetView>
  </sheetViews>
  <sheetFormatPr defaultColWidth="9.42578125" defaultRowHeight="15" x14ac:dyDescent="0.25"/>
  <cols>
    <col min="1" max="1" width="3.42578125" style="8" customWidth="1"/>
    <col min="2" max="2" width="12.5703125" style="8" customWidth="1"/>
    <col min="3" max="12" width="9.42578125" style="8" customWidth="1"/>
    <col min="13" max="13" width="10.140625" style="8" bestFit="1" customWidth="1"/>
    <col min="14" max="14" width="8.7109375" style="8" hidden="1" customWidth="1"/>
    <col min="15" max="15" width="6.42578125" style="8" hidden="1" customWidth="1"/>
    <col min="16" max="16" width="3.42578125" style="8" customWidth="1"/>
    <col min="17" max="17" width="11.42578125" style="8" customWidth="1"/>
    <col min="18" max="18" width="8.42578125" style="8" customWidth="1"/>
    <col min="19" max="20" width="8.42578125" style="9" customWidth="1"/>
    <col min="21" max="24" width="8.42578125" style="8" customWidth="1"/>
    <col min="25" max="16384" width="9.42578125" style="8"/>
  </cols>
  <sheetData>
    <row r="1" spans="1:24" ht="15.75" customHeight="1" x14ac:dyDescent="0.45">
      <c r="B1" s="611" t="str">
        <f>Recipe!B1</f>
        <v>Harvest Ale</v>
      </c>
      <c r="C1" s="611"/>
      <c r="D1" s="611"/>
      <c r="E1" s="611"/>
      <c r="F1" s="611"/>
      <c r="G1" s="611"/>
      <c r="H1" s="611"/>
      <c r="I1" s="611"/>
      <c r="J1" s="410"/>
      <c r="K1" s="410"/>
      <c r="L1" s="410"/>
      <c r="M1" s="410"/>
      <c r="N1" s="410"/>
      <c r="O1" s="410"/>
      <c r="P1" s="410"/>
      <c r="Q1" s="613" t="str">
        <f>Recipe!Q1</f>
        <v>My Cheapo Brewsheet</v>
      </c>
      <c r="R1" s="613"/>
      <c r="S1" s="613"/>
      <c r="T1" s="613"/>
      <c r="U1" s="613"/>
      <c r="V1" s="613"/>
      <c r="W1" s="613"/>
      <c r="X1" s="613"/>
    </row>
    <row r="2" spans="1:24" ht="15.75" customHeight="1" thickBot="1" x14ac:dyDescent="0.5">
      <c r="B2" s="612"/>
      <c r="C2" s="612"/>
      <c r="D2" s="612"/>
      <c r="E2" s="612"/>
      <c r="F2" s="612"/>
      <c r="G2" s="612"/>
      <c r="H2" s="612"/>
      <c r="I2" s="612"/>
      <c r="J2" s="411"/>
      <c r="K2" s="411"/>
      <c r="L2" s="411"/>
      <c r="M2" s="411"/>
      <c r="N2" s="411"/>
      <c r="O2" s="411"/>
      <c r="P2" s="411"/>
      <c r="Q2" s="614"/>
      <c r="R2" s="614"/>
      <c r="S2" s="614"/>
      <c r="T2" s="614"/>
      <c r="U2" s="614"/>
      <c r="V2" s="614"/>
      <c r="W2" s="614"/>
      <c r="X2" s="614"/>
    </row>
    <row r="3" spans="1:24" ht="4.5" customHeight="1" x14ac:dyDescent="0.45">
      <c r="B3" s="180"/>
      <c r="C3" s="180"/>
      <c r="D3" s="180"/>
      <c r="E3" s="180"/>
      <c r="F3" s="184"/>
      <c r="G3" s="184"/>
      <c r="H3" s="184"/>
      <c r="I3" s="184"/>
      <c r="J3" s="184"/>
      <c r="K3" s="184"/>
      <c r="L3" s="184"/>
      <c r="N3" s="184"/>
      <c r="O3" s="184"/>
    </row>
    <row r="4" spans="1:24" ht="15" customHeight="1" x14ac:dyDescent="0.25">
      <c r="C4" s="30" t="s">
        <v>0</v>
      </c>
      <c r="D4" s="30" t="s">
        <v>1</v>
      </c>
      <c r="E4" s="30" t="s">
        <v>2</v>
      </c>
      <c r="J4" s="536" t="s">
        <v>1045</v>
      </c>
      <c r="K4" s="536"/>
      <c r="L4" s="536"/>
      <c r="M4" s="536"/>
      <c r="Q4" s="204" t="s">
        <v>3</v>
      </c>
      <c r="R4" s="610" t="str">
        <f>Recipe!R4</f>
        <v>19 A American Amber Ale</v>
      </c>
      <c r="S4" s="610">
        <f>Recipe!S4</f>
        <v>0</v>
      </c>
      <c r="T4" s="610">
        <f>Recipe!T4</f>
        <v>0</v>
      </c>
      <c r="U4" s="610">
        <f>Recipe!U4</f>
        <v>0</v>
      </c>
      <c r="V4" s="610">
        <f>Recipe!V4</f>
        <v>0</v>
      </c>
    </row>
    <row r="5" spans="1:24" x14ac:dyDescent="0.25">
      <c r="A5" s="10"/>
      <c r="B5" s="43" t="s">
        <v>6</v>
      </c>
      <c r="C5" s="191">
        <f>IF(W33=0,,1+((M27-1)*Volume/W33))</f>
        <v>1.051060101567675</v>
      </c>
      <c r="D5" s="192">
        <f>IF(C5=0,,(-463.37)+(668.72*C5)-(205.35*(C5^2)))</f>
        <v>12.639152445320576</v>
      </c>
      <c r="E5" s="193">
        <f>IF(C5=0,,(C5-1.000019)/0.00387863426128)</f>
        <v>13.159555175700124</v>
      </c>
      <c r="F5" s="453" t="s">
        <v>7</v>
      </c>
      <c r="G5" s="62">
        <f>IF(ColorFormula="Weyermann",(SUM(O11:O26)*(D6/10)+5)*IF(ColorUnits="SRM:",0.51,1),IF(ColorUnits="SRM:",1,1.97)*(IF(ColorFormula="Efficiency",SUM(O11:O26),(IF(ColorFormula="Morey",SUM(O11:O26)^0.6859*1.4922,(IF(ColorFormula="Daniels",SUM(O11:O26)*0.2+8.4,IF(ColorFormula="Mosher",SUM(O11:O26)*0.3+4.7))))))))</f>
        <v>21.996273011240525</v>
      </c>
      <c r="H5" s="220" t="s">
        <v>8</v>
      </c>
      <c r="I5" s="194">
        <f>(OriginalGravity-C7)*1.25*1.05</f>
        <v>5.6234659090908912E-2</v>
      </c>
      <c r="J5" s="220" t="str">
        <f>IF(Units="metric","Liters:","Gallons:")</f>
        <v>Gallons:</v>
      </c>
      <c r="K5" s="247">
        <f>Recipe!W34</f>
        <v>11.933962264150944</v>
      </c>
      <c r="L5" s="43" t="s">
        <v>11</v>
      </c>
      <c r="M5" s="205" t="str">
        <f>Recipe!M5</f>
        <v>US</v>
      </c>
      <c r="Q5" s="43" t="s">
        <v>9</v>
      </c>
      <c r="R5" s="464" t="str">
        <f>IF(R4=0,,VLOOKUP($R$4,Styles!$O$3:$V$160,2))</f>
        <v>1.045-60</v>
      </c>
      <c r="S5" s="43" t="s">
        <v>7</v>
      </c>
      <c r="T5" s="464" t="str">
        <f>IF(R4=0,,VLOOKUP($R$4,Styles!$O$3:$V$160,7))</f>
        <v>10-17</v>
      </c>
      <c r="U5" s="43" t="s">
        <v>10</v>
      </c>
      <c r="V5" s="464" t="str">
        <f>IF(R4=0,,VLOOKUP($R$4,Styles!$O$3:$V$160,8))</f>
        <v>2.2-2.8</v>
      </c>
    </row>
    <row r="6" spans="1:24" x14ac:dyDescent="0.25">
      <c r="A6" s="10"/>
      <c r="B6" s="220" t="s">
        <v>9</v>
      </c>
      <c r="C6" s="191">
        <f>M27</f>
        <v>1.0571272727272727</v>
      </c>
      <c r="D6" s="192">
        <f>(-463.37)+(668.72*OriginalGravity)-(205.35*(OriginalGravity^2))</f>
        <v>14.069813990942237</v>
      </c>
      <c r="E6" s="193">
        <f>( OriginalGravity-1.000019)/ 0.00387863426128</f>
        <v>14.723809691823385</v>
      </c>
      <c r="F6" s="220" t="s">
        <v>13</v>
      </c>
      <c r="G6" s="195">
        <f>X27</f>
        <v>49.790627296773145</v>
      </c>
      <c r="H6" s="220" t="s">
        <v>14</v>
      </c>
      <c r="I6" s="196">
        <f xml:space="preserve"> (D6-(0.1808*$D$6+0.8192*$D$7))/(2.0665-0.010665*D6)/100</f>
        <v>4.5106912848307514E-2</v>
      </c>
      <c r="J6" s="43" t="s">
        <v>1032</v>
      </c>
      <c r="K6" s="398">
        <f>Volume-S31-S32</f>
        <v>11</v>
      </c>
      <c r="L6" s="43" t="s">
        <v>1043</v>
      </c>
      <c r="M6" s="448" t="s">
        <v>1618</v>
      </c>
      <c r="Q6" s="43" t="s">
        <v>15</v>
      </c>
      <c r="R6" s="465" t="str">
        <f>IF(R4=0,,VLOOKUP($R$4,Styles!$O$3:$V$160,3))</f>
        <v>1.010-15</v>
      </c>
      <c r="S6" s="43" t="s">
        <v>13</v>
      </c>
      <c r="T6" s="465" t="str">
        <f>IF(R4=0,,VLOOKUP($R$4,Styles!$O$3:$V$160,5))</f>
        <v>25-40</v>
      </c>
    </row>
    <row r="7" spans="1:24" x14ac:dyDescent="0.25">
      <c r="B7" s="220" t="s">
        <v>15</v>
      </c>
      <c r="C7" s="469">
        <f>(OriginalGravity-1)*(1-J37)+1</f>
        <v>1.0142818181818183</v>
      </c>
      <c r="D7" s="470">
        <f>D6*(1-J37)</f>
        <v>3.5174534977355592</v>
      </c>
      <c r="E7" s="471">
        <f>(C7-1 + 0.000856829*(E6/1.04))*1.04/ 0.00349412</f>
        <v>7.8614581192192468</v>
      </c>
      <c r="F7" s="220" t="s">
        <v>18</v>
      </c>
      <c r="G7" s="12">
        <f>IF(X27=0,,IF(OriginalGravity&lt;1.001,,X27/((OriginalGravity-1)*1000)))</f>
        <v>0.8715736796061504</v>
      </c>
      <c r="H7" s="220" t="s">
        <v>19</v>
      </c>
      <c r="I7" s="222">
        <f>IF(I6=0,,(6.9*I6*100+4*((0.1808*D6+0.8192*D7)-0.1))*3.55*C7)</f>
        <v>188.76690483910548</v>
      </c>
      <c r="J7" s="220" t="s">
        <v>16</v>
      </c>
      <c r="K7" s="40">
        <f>Recipe!Efficiency</f>
        <v>0.8</v>
      </c>
      <c r="L7" s="43" t="s">
        <v>1044</v>
      </c>
      <c r="M7" s="449" t="s">
        <v>17</v>
      </c>
      <c r="Q7" s="43" t="s">
        <v>8</v>
      </c>
      <c r="R7" s="468" t="str">
        <f>IF(R4=0,,VLOOKUP($R$4,Styles!$O$3:$V$160,4))</f>
        <v>4.5-6.2</v>
      </c>
      <c r="S7" s="43" t="s">
        <v>20</v>
      </c>
      <c r="T7" s="467" t="str">
        <f>IF(R4=0,,VLOOKUP($R$4,Styles!$O$3:$V$160,6))</f>
        <v>0.56-0.67</v>
      </c>
    </row>
    <row r="8" spans="1:24" x14ac:dyDescent="0.25">
      <c r="S8" s="52"/>
      <c r="T8" s="52"/>
      <c r="U8" s="52"/>
    </row>
    <row r="9" spans="1:24" ht="15" customHeight="1" thickBot="1" x14ac:dyDescent="0.35">
      <c r="B9" s="336" t="s">
        <v>22</v>
      </c>
      <c r="C9" s="13"/>
      <c r="D9" s="13"/>
      <c r="E9" s="13"/>
      <c r="F9" s="13"/>
      <c r="G9" s="13"/>
      <c r="H9" s="13"/>
      <c r="I9" s="13"/>
      <c r="J9" s="14"/>
      <c r="K9" s="16"/>
      <c r="L9" s="16"/>
      <c r="M9" s="16"/>
      <c r="N9" s="14"/>
      <c r="O9" s="15"/>
      <c r="Q9" s="337" t="s">
        <v>54</v>
      </c>
      <c r="R9" s="17"/>
      <c r="S9" s="17"/>
      <c r="T9" s="221"/>
      <c r="U9" s="221"/>
      <c r="V9" s="221"/>
      <c r="W9" s="9"/>
      <c r="X9" s="9"/>
    </row>
    <row r="10" spans="1:24" ht="15" customHeight="1" x14ac:dyDescent="0.25">
      <c r="B10" s="171" t="s">
        <v>24</v>
      </c>
      <c r="C10" s="310" t="s">
        <v>25</v>
      </c>
      <c r="D10" s="311"/>
      <c r="E10" s="311"/>
      <c r="F10" s="311"/>
      <c r="G10" s="311"/>
      <c r="H10" s="312"/>
      <c r="I10" s="20" t="s">
        <v>29</v>
      </c>
      <c r="J10" s="19" t="str">
        <f>IF(Units="metric","kg","lbs")</f>
        <v>lbs</v>
      </c>
      <c r="K10" s="19" t="str">
        <f>IF(Units="metric","g","oz")</f>
        <v>oz</v>
      </c>
      <c r="L10" s="172" t="s">
        <v>28</v>
      </c>
      <c r="M10" s="19" t="s">
        <v>26</v>
      </c>
      <c r="N10" s="20" t="str">
        <f>IF(Units="metric","points/kg","points/lb")</f>
        <v>points/lb</v>
      </c>
      <c r="O10" s="19" t="s">
        <v>1046</v>
      </c>
      <c r="Q10" s="173" t="s">
        <v>56</v>
      </c>
      <c r="R10" s="546" t="s">
        <v>57</v>
      </c>
      <c r="S10" s="547"/>
      <c r="T10" s="21" t="s">
        <v>58</v>
      </c>
      <c r="U10" s="21" t="s">
        <v>59</v>
      </c>
      <c r="V10" s="49" t="str">
        <f>Recipe!HopUnits</f>
        <v>oz</v>
      </c>
      <c r="W10" s="21" t="s">
        <v>61</v>
      </c>
      <c r="X10" s="174" t="s">
        <v>62</v>
      </c>
    </row>
    <row r="11" spans="1:24" ht="15" customHeight="1" x14ac:dyDescent="0.25">
      <c r="B11" s="313" t="str">
        <f>Recipe!B11</f>
        <v>Pale</v>
      </c>
      <c r="C11" s="601" t="str">
        <f>Recipe!C11</f>
        <v>Briess Brewers Malt</v>
      </c>
      <c r="D11" s="602"/>
      <c r="E11" s="602"/>
      <c r="F11" s="602"/>
      <c r="G11" s="602"/>
      <c r="H11" s="603"/>
      <c r="I11" s="444">
        <f>IF(C11=0,,VLOOKUP(C11,Fermentables!B:D,3))</f>
        <v>1.8</v>
      </c>
      <c r="J11" s="292">
        <f>ROUNDDOWN(IF(Units="metric",(NewVol/Recipe!Volume)*(Recipe!J11+Recipe!K11/1000),(NewVol/Recipe!Volume)*(Recipe!J11+Recipe!K11/16)),0)</f>
        <v>13</v>
      </c>
      <c r="K11" s="292">
        <f>(IF(Units="metric",(NewVol/Recipe!Volume)*(Recipe!J11+Recipe!K11/1000),(NewVol/Recipe!Volume)*(Recipe!J11+Recipe!K11/16))-ROUNDDOWN(IF(Units="metric",(NewVol/Recipe!Volume)*(Recipe!J11+Recipe!K11/1000),(NewVol/Recipe!Volume)*(Recipe!J11+Recipe!K11/16)),0))*16</f>
        <v>8.9811320754717201</v>
      </c>
      <c r="L11" s="279">
        <f t="shared" ref="L11:L26" si="0">IF(TotalFermentables=0,,(J11+K11/IF(Units="metric",1000,16))/TotalFermentables)</f>
        <v>0.5780346820809249</v>
      </c>
      <c r="M11" s="275">
        <f t="shared" ref="M11:M26" si="1">IF(OR(B11="Extract",B11="Adjunct"),1,Efficiency)*((N11/1000)*(J11+K11/IF(Units="metric",1000,16))/Volume)*IF(Units="metric",3.78541178,1)</f>
        <v>3.2727272727272751E-2</v>
      </c>
      <c r="N11" s="197">
        <f>IF(C11=0,,(VLOOKUP(C11,Fermentables!B:D,2)/IF(Units="metric",0.45359237,1)))</f>
        <v>36.000000000000028</v>
      </c>
      <c r="O11" s="198">
        <f t="shared" ref="O11:O26" si="2">IF(ColorFormula="Weyermann",(L11*(I11*1.3564-0.76)*1.97),IF(ColorFormula="Efficiency",IF(OR(B11="Extract",B11="Adjunct"),1,Efficiency),1)*(J11+K11/IF(Units="metric",1000,16))*(I11*1.3564-0.76)/Volume*IF(Units="metric",3.78541178/0.45359237,1))</f>
        <v>1.9147944508670522</v>
      </c>
      <c r="Q11" s="214">
        <f>Recipe!Q11</f>
        <v>60</v>
      </c>
      <c r="R11" s="593" t="str">
        <f>Recipe!R11</f>
        <v>Cascade</v>
      </c>
      <c r="S11" s="594">
        <f>Recipe!S11</f>
        <v>0</v>
      </c>
      <c r="T11" s="215">
        <f>Recipe!T11</f>
        <v>5.7000000000000002E-2</v>
      </c>
      <c r="U11" s="215" t="str">
        <f>Recipe!U11</f>
        <v>Pellet</v>
      </c>
      <c r="V11" s="294">
        <f>(NewVol/Recipe!Volume)*Recipe!V11</f>
        <v>4.3396226415094343</v>
      </c>
      <c r="W11" s="33">
        <f>T11*100*V11/IF(HopUnits="grams",28.3495231,1)</f>
        <v>24.735849056603776</v>
      </c>
      <c r="X11" s="200">
        <f>IF(OR(Volume=0,OriginalGravity=0,Q11="flame out"),,IF(Q11="dry hops",,IF(HopCalc="Rager",IF(U11="pellet",1.1,1)*IF(Q11="Mash",0.2,1)*IF(Q11="FWH",1.1,1)*V11*T11*1000*IF(HopUnits="grams",1,28.349523125)*IF(Units="metric",1,0.264172052358)*((18.11+13.86*TANH((IF(OR(Q11="FWH",Q11="mash"),BoilTime,Q11)-31.32)/18.27))/100)/(Volume*(1+(OriginalGravity-1.05)/0.2)),IF(U11="pellet",1.1,1)*IF(Q11="Mash",0.2,1)*IF(Q11="FWH",1.1,1)*(T11*V11*1000*IF(HopUnits="grams",1,28.349523125)*IF(Units="metric",1,0.264172052358)/Volume)*((1-EXP(-0.04*IF(OR(Q11="FWH",Q11="mash"),BoilTime,Q11)))/4.15)*(1.65*0.000125^(OriginalGravity-1)))))</f>
        <v>36.942735690121395</v>
      </c>
    </row>
    <row r="12" spans="1:24" ht="15" customHeight="1" x14ac:dyDescent="0.25">
      <c r="B12" s="313" t="str">
        <f>Recipe!B12</f>
        <v>NonBarley</v>
      </c>
      <c r="C12" s="601" t="str">
        <f>Recipe!C12</f>
        <v>Briess Wheat Malt</v>
      </c>
      <c r="D12" s="602"/>
      <c r="E12" s="602"/>
      <c r="F12" s="602"/>
      <c r="G12" s="602"/>
      <c r="H12" s="603"/>
      <c r="I12" s="444">
        <f>IF(C12=0,,VLOOKUP(C12,Fermentables!B:D,3))</f>
        <v>2.5</v>
      </c>
      <c r="J12" s="293">
        <f>ROUNDDOWN(IF(Units="metric",(NewVol/Recipe!Volume)*(Recipe!J12+Recipe!K12/1000),(NewVol/Recipe!Volume)*(Recipe!J12+Recipe!K12/16)),0)</f>
        <v>3</v>
      </c>
      <c r="K12" s="293">
        <f>(IF(Units="metric",(NewVol/Recipe!Volume)*(Recipe!J12+Recipe!K12/1000),(NewVol/Recipe!Volume)*(Recipe!J12+Recipe!K12/16))-ROUNDDOWN(IF(Units="metric",(NewVol/Recipe!Volume)*(Recipe!J12+Recipe!K12/1000),(NewVol/Recipe!Volume)*(Recipe!J12+Recipe!K12/16)),0))*16</f>
        <v>12.754716981132077</v>
      </c>
      <c r="L12" s="280">
        <f t="shared" si="0"/>
        <v>0.16184971098265896</v>
      </c>
      <c r="M12" s="275">
        <f t="shared" si="1"/>
        <v>1.0181818181818191E-2</v>
      </c>
      <c r="N12" s="197">
        <f>IF(C12=0,,(VLOOKUP(C12,Fermentables!B:D,2)/IF(Units="metric",0.45359237,1)))</f>
        <v>40.000000000000036</v>
      </c>
      <c r="O12" s="198">
        <f t="shared" si="2"/>
        <v>0.83887838150289029</v>
      </c>
      <c r="Q12" s="214">
        <f>Recipe!Q12</f>
        <v>15</v>
      </c>
      <c r="R12" s="593" t="str">
        <f>Recipe!R12</f>
        <v>Cascade</v>
      </c>
      <c r="S12" s="595">
        <f>Recipe!S12</f>
        <v>0</v>
      </c>
      <c r="T12" s="215">
        <f>Recipe!T12</f>
        <v>5.7000000000000002E-2</v>
      </c>
      <c r="U12" s="215" t="str">
        <f>Recipe!U12</f>
        <v>Pellet</v>
      </c>
      <c r="V12" s="294">
        <f>(NewVol/Recipe!Volume)*Recipe!V12</f>
        <v>2.1698113207547172</v>
      </c>
      <c r="W12" s="33">
        <f>IF(HopUnits="grams",T12*100*V12/28.3495231,T12*100*V12)</f>
        <v>12.367924528301888</v>
      </c>
      <c r="X12" s="200">
        <f t="shared" ref="X12:X24" si="3">IF(OR(Volume=0,OriginalGravity=0,Q12="flame out"),,IF(Q12="dry hops",,IF(HopCalc="Rager",IF(U12="pellet",1.1,1)*IF(Q12="Mash",0.2,1)*IF(Q12="FWH",1.1,1)*V12*T12*1000*IF(HopUnits="grams",1,28.349523125)*IF(Units="metric",1,0.264172052358)*((18.11+13.86*TANH((IF(OR(Q12="FWH",Q12="mash"),BoilTime,Q12)-31.32)/18.27))/100)/(Volume*(1+(OriginalGravity-1.05)/0.2)),IF(U12="pellet",1.1,1)*IF(Q12="Mash",0.2,1)*IF(Q12="FWH",1.1,1)*(T12*V12*1000*IF(HopUnits="grams",1,28.349523125)*IF(Units="metric",1,0.264172052358)/Volume)*((1-EXP(-0.04*IF(OR(Q12="FWH",Q12="mash"),BoilTime,Q12)))/4.15)*(1.65*0.000125^(OriginalGravity-1)))))</f>
        <v>9.1655457921638366</v>
      </c>
    </row>
    <row r="13" spans="1:24" ht="15" customHeight="1" x14ac:dyDescent="0.25">
      <c r="B13" s="313" t="str">
        <f>Recipe!B13</f>
        <v>Caramel</v>
      </c>
      <c r="C13" s="601" t="str">
        <f>Recipe!C13</f>
        <v>Weyermann CARAMUNICH Type 1</v>
      </c>
      <c r="D13" s="602"/>
      <c r="E13" s="602"/>
      <c r="F13" s="602"/>
      <c r="G13" s="602"/>
      <c r="H13" s="603"/>
      <c r="I13" s="444">
        <f>IF(C13=0,,VLOOKUP(C13,Fermentables!B:D,3))</f>
        <v>34.5</v>
      </c>
      <c r="J13" s="293">
        <f>ROUNDDOWN(IF(Units="metric",(NewVol/Recipe!Volume)*(Recipe!J13+Recipe!K13/1000),(NewVol/Recipe!Volume)*(Recipe!J13+Recipe!K13/16)),0)</f>
        <v>2</v>
      </c>
      <c r="K13" s="293">
        <f>(IF(Units="metric",(NewVol/Recipe!Volume)*(Recipe!J13+Recipe!K13/1000),(NewVol/Recipe!Volume)*(Recipe!J13+Recipe!K13/16))-ROUNDDOWN(IF(Units="metric",(NewVol/Recipe!Volume)*(Recipe!J13+Recipe!K13/1000),(NewVol/Recipe!Volume)*(Recipe!J13+Recipe!K13/16)),0))*16</f>
        <v>2.7169811320754746</v>
      </c>
      <c r="L13" s="280">
        <f t="shared" si="0"/>
        <v>9.2485549132947986E-2</v>
      </c>
      <c r="M13" s="275">
        <f t="shared" si="1"/>
        <v>4.9454545454545506E-3</v>
      </c>
      <c r="N13" s="197">
        <f>IF(C13=0,,(VLOOKUP(C13,Fermentables!B:D,2)/IF(Units="metric",0.45359237,1)))</f>
        <v>34.000000000000028</v>
      </c>
      <c r="O13" s="198">
        <f t="shared" si="2"/>
        <v>8.3875630982658969</v>
      </c>
      <c r="Q13" s="214">
        <f>Recipe!Q13</f>
        <v>5</v>
      </c>
      <c r="R13" s="593" t="str">
        <f>Recipe!R13</f>
        <v>Cascade</v>
      </c>
      <c r="S13" s="595">
        <f>Recipe!S13</f>
        <v>0</v>
      </c>
      <c r="T13" s="215">
        <f>Recipe!T13</f>
        <v>5.7000000000000002E-2</v>
      </c>
      <c r="U13" s="215" t="str">
        <f>Recipe!U13</f>
        <v>Pellet</v>
      </c>
      <c r="V13" s="294">
        <f>(NewVol/Recipe!Volume)*Recipe!V13</f>
        <v>2.1698113207547172</v>
      </c>
      <c r="W13" s="33">
        <f t="shared" ref="W13:W24" si="4">IF(HopUnits="grams",T13*100*V13/28.3495231,T13*100*V13)</f>
        <v>12.367924528301888</v>
      </c>
      <c r="X13" s="200">
        <f t="shared" si="3"/>
        <v>3.682345814487912</v>
      </c>
    </row>
    <row r="14" spans="1:24" ht="15" customHeight="1" x14ac:dyDescent="0.25">
      <c r="B14" s="313" t="str">
        <f>Recipe!B14</f>
        <v>Caramel</v>
      </c>
      <c r="C14" s="601" t="str">
        <f>Recipe!C14</f>
        <v>Briess Caramel Malt 120L</v>
      </c>
      <c r="D14" s="602"/>
      <c r="E14" s="602"/>
      <c r="F14" s="602"/>
      <c r="G14" s="602"/>
      <c r="H14" s="603"/>
      <c r="I14" s="444">
        <f>IF(C14=0,,VLOOKUP(C14,Fermentables!B:D,3))</f>
        <v>120</v>
      </c>
      <c r="J14" s="293">
        <f>ROUNDDOWN(IF(Units="metric",(NewVol/Recipe!Volume)*(Recipe!J14+Recipe!K14/1000),(NewVol/Recipe!Volume)*(Recipe!J14+Recipe!K14/16)),0)</f>
        <v>0</v>
      </c>
      <c r="K14" s="293">
        <f>(IF(Units="metric",(NewVol/Recipe!Volume)*(Recipe!J14+Recipe!K14/1000),(NewVol/Recipe!Volume)*(Recipe!J14+Recipe!K14/16))-ROUNDDOWN(IF(Units="metric",(NewVol/Recipe!Volume)*(Recipe!J14+Recipe!K14/1000),(NewVol/Recipe!Volume)*(Recipe!J14+Recipe!K14/16)),0))*16</f>
        <v>8.6792452830188687</v>
      </c>
      <c r="L14" s="280">
        <f t="shared" si="0"/>
        <v>2.3121387283236997E-2</v>
      </c>
      <c r="M14" s="275">
        <f t="shared" si="1"/>
        <v>1.2000000000000003E-3</v>
      </c>
      <c r="N14" s="197">
        <f>IF(C14=0,,(VLOOKUP(C14,Fermentables!B:D,2)/IF(Units="metric",0.45359237,1)))</f>
        <v>33</v>
      </c>
      <c r="O14" s="198">
        <f t="shared" si="2"/>
        <v>7.3793239306358389</v>
      </c>
      <c r="Q14" s="214">
        <f>Recipe!Q14</f>
        <v>0</v>
      </c>
      <c r="R14" s="593">
        <f>Recipe!R14</f>
        <v>0</v>
      </c>
      <c r="S14" s="595">
        <f>Recipe!S14</f>
        <v>0</v>
      </c>
      <c r="T14" s="215">
        <f>Recipe!T14</f>
        <v>0</v>
      </c>
      <c r="U14" s="215">
        <f>Recipe!U14</f>
        <v>0</v>
      </c>
      <c r="V14" s="294">
        <f>(NewVol/Recipe!Volume)*Recipe!V14</f>
        <v>0</v>
      </c>
      <c r="W14" s="33">
        <f t="shared" si="4"/>
        <v>0</v>
      </c>
      <c r="X14" s="200">
        <f t="shared" si="3"/>
        <v>0</v>
      </c>
    </row>
    <row r="15" spans="1:24" ht="15" customHeight="1" x14ac:dyDescent="0.25">
      <c r="B15" s="313" t="str">
        <f>Recipe!B15</f>
        <v>Flaked</v>
      </c>
      <c r="C15" s="601" t="str">
        <f>Recipe!C15</f>
        <v>Thomas Fawcett &amp; Sons Ltd Flaked Maize</v>
      </c>
      <c r="D15" s="602"/>
      <c r="E15" s="602"/>
      <c r="F15" s="602"/>
      <c r="G15" s="602"/>
      <c r="H15" s="603"/>
      <c r="I15" s="444">
        <f>IF(C15=0,,VLOOKUP(C15,Fermentables!B:D,3))</f>
        <v>2.25</v>
      </c>
      <c r="J15" s="293">
        <f>ROUNDDOWN(IF(Units="metric",(NewVol/Recipe!Volume)*(Recipe!J15+Recipe!K15/1000),(NewVol/Recipe!Volume)*(Recipe!J15+Recipe!K15/16)),0)</f>
        <v>2</v>
      </c>
      <c r="K15" s="293">
        <f>(IF(Units="metric",(NewVol/Recipe!Volume)*(Recipe!J15+Recipe!K15/1000),(NewVol/Recipe!Volume)*(Recipe!J15+Recipe!K15/16))-ROUNDDOWN(IF(Units="metric",(NewVol/Recipe!Volume)*(Recipe!J15+Recipe!K15/1000),(NewVol/Recipe!Volume)*(Recipe!J15+Recipe!K15/16)),0))*16</f>
        <v>2.7169811320754746</v>
      </c>
      <c r="L15" s="280">
        <f t="shared" si="0"/>
        <v>9.2485549132947986E-2</v>
      </c>
      <c r="M15" s="275">
        <f t="shared" si="1"/>
        <v>5.3818181818181716E-3</v>
      </c>
      <c r="N15" s="197">
        <f>IF(C15=0,,(VLOOKUP(C15,Fermentables!B:D,2)/IF(Units="metric",0.45359237,1)))</f>
        <v>36.999999999999922</v>
      </c>
      <c r="O15" s="198">
        <f t="shared" si="2"/>
        <v>0.41757623121387288</v>
      </c>
      <c r="Q15" s="214">
        <f>Recipe!Q15</f>
        <v>0</v>
      </c>
      <c r="R15" s="593">
        <f>Recipe!R15</f>
        <v>0</v>
      </c>
      <c r="S15" s="595">
        <f>Recipe!S15</f>
        <v>0</v>
      </c>
      <c r="T15" s="215">
        <f>Recipe!T15</f>
        <v>0</v>
      </c>
      <c r="U15" s="215">
        <f>Recipe!U15</f>
        <v>0</v>
      </c>
      <c r="V15" s="294">
        <f>(NewVol/Recipe!Volume)*Recipe!V15</f>
        <v>0</v>
      </c>
      <c r="W15" s="33">
        <f t="shared" si="4"/>
        <v>0</v>
      </c>
      <c r="X15" s="200">
        <f t="shared" si="3"/>
        <v>0</v>
      </c>
    </row>
    <row r="16" spans="1:24" ht="15" customHeight="1" x14ac:dyDescent="0.25">
      <c r="B16" s="313" t="str">
        <f>Recipe!B16</f>
        <v>NonBarley</v>
      </c>
      <c r="C16" s="601" t="str">
        <f>Recipe!C16</f>
        <v>Malteries Franco-Belges Oatmeal</v>
      </c>
      <c r="D16" s="602"/>
      <c r="E16" s="602"/>
      <c r="F16" s="602"/>
      <c r="G16" s="602"/>
      <c r="H16" s="603"/>
      <c r="I16" s="444">
        <f>IF(C16=0,,VLOOKUP(C16,Fermentables!B:D,3))</f>
        <v>1</v>
      </c>
      <c r="J16" s="293">
        <f>ROUNDDOWN(IF(Units="metric",(NewVol/Recipe!Volume)*(Recipe!J16+Recipe!K16/1000),(NewVol/Recipe!Volume)*(Recipe!J16+Recipe!K16/16)),0)</f>
        <v>1</v>
      </c>
      <c r="K16" s="293">
        <f>(IF(Units="metric",(NewVol/Recipe!Volume)*(Recipe!J16+Recipe!K16/1000),(NewVol/Recipe!Volume)*(Recipe!J16+Recipe!K16/16))-ROUNDDOWN(IF(Units="metric",(NewVol/Recipe!Volume)*(Recipe!J16+Recipe!K16/1000),(NewVol/Recipe!Volume)*(Recipe!J16+Recipe!K16/16)),0))*16</f>
        <v>1.3584905660377373</v>
      </c>
      <c r="L16" s="280">
        <f t="shared" si="0"/>
        <v>4.6242774566473993E-2</v>
      </c>
      <c r="M16" s="275">
        <f t="shared" si="1"/>
        <v>2.4000000000000007E-3</v>
      </c>
      <c r="N16" s="197">
        <f>IF(C16=0,,(VLOOKUP(C16,Fermentables!B:D,2)/IF(Units="metric",0.45359237,1)))</f>
        <v>33</v>
      </c>
      <c r="O16" s="198">
        <f t="shared" si="2"/>
        <v>5.4331005780346824E-2</v>
      </c>
      <c r="Q16" s="214">
        <f>Recipe!Q16</f>
        <v>0</v>
      </c>
      <c r="R16" s="593">
        <f>Recipe!R16</f>
        <v>0</v>
      </c>
      <c r="S16" s="595">
        <f>Recipe!S16</f>
        <v>0</v>
      </c>
      <c r="T16" s="215">
        <f>Recipe!T16</f>
        <v>0</v>
      </c>
      <c r="U16" s="215">
        <f>Recipe!U16</f>
        <v>0</v>
      </c>
      <c r="V16" s="294">
        <f>(NewVol/Recipe!Volume)*Recipe!V16</f>
        <v>0</v>
      </c>
      <c r="W16" s="33">
        <f t="shared" si="4"/>
        <v>0</v>
      </c>
      <c r="X16" s="200">
        <f t="shared" si="3"/>
        <v>0</v>
      </c>
    </row>
    <row r="17" spans="2:32" ht="15" customHeight="1" x14ac:dyDescent="0.25">
      <c r="B17" s="313" t="str">
        <f>Recipe!B17</f>
        <v>Roasted</v>
      </c>
      <c r="C17" s="601" t="str">
        <f>Recipe!C17</f>
        <v>Weyermann CARAFA Special Type 3 (dehusked)</v>
      </c>
      <c r="D17" s="602"/>
      <c r="E17" s="602"/>
      <c r="F17" s="602"/>
      <c r="G17" s="602"/>
      <c r="H17" s="603"/>
      <c r="I17" s="444">
        <f>IF(C17=0,,VLOOKUP(C17,Fermentables!B:D,3))</f>
        <v>525.5</v>
      </c>
      <c r="J17" s="293">
        <f>ROUNDDOWN(IF(Units="metric",(NewVol/Recipe!Volume)*(Recipe!J17+Recipe!K17/1000),(NewVol/Recipe!Volume)*(Recipe!J17+Recipe!K17/16)),0)</f>
        <v>0</v>
      </c>
      <c r="K17" s="293">
        <f>(IF(Units="metric",(NewVol/Recipe!Volume)*(Recipe!J17+Recipe!K17/1000),(NewVol/Recipe!Volume)*(Recipe!J17+Recipe!K17/16))-ROUNDDOWN(IF(Units="metric",(NewVol/Recipe!Volume)*(Recipe!J17+Recipe!K17/1000),(NewVol/Recipe!Volume)*(Recipe!J17+Recipe!K17/16)),0))*16</f>
        <v>2.1698113207547172</v>
      </c>
      <c r="L17" s="280">
        <f t="shared" si="0"/>
        <v>5.7803468208092491E-3</v>
      </c>
      <c r="M17" s="275">
        <f t="shared" si="1"/>
        <v>2.9090909090909118E-4</v>
      </c>
      <c r="N17" s="197">
        <f>IF(C17=0,,(VLOOKUP(C17,Fermentables!B:D,2)/IF(Units="metric",0.45359237,1)))</f>
        <v>32.000000000000028</v>
      </c>
      <c r="O17" s="198">
        <f t="shared" si="2"/>
        <v>8.1080667861271696</v>
      </c>
      <c r="Q17" s="214">
        <f>Recipe!Q17</f>
        <v>0</v>
      </c>
      <c r="R17" s="593">
        <f>Recipe!R17</f>
        <v>0</v>
      </c>
      <c r="S17" s="595">
        <f>Recipe!S17</f>
        <v>0</v>
      </c>
      <c r="T17" s="215">
        <f>Recipe!T17</f>
        <v>0</v>
      </c>
      <c r="U17" s="215">
        <f>Recipe!U17</f>
        <v>0</v>
      </c>
      <c r="V17" s="294">
        <f>(NewVol/Recipe!Volume)*Recipe!V17</f>
        <v>0</v>
      </c>
      <c r="W17" s="33">
        <f t="shared" si="4"/>
        <v>0</v>
      </c>
      <c r="X17" s="200">
        <f t="shared" si="3"/>
        <v>0</v>
      </c>
    </row>
    <row r="18" spans="2:32" ht="15" customHeight="1" x14ac:dyDescent="0.25">
      <c r="B18" s="313">
        <f>Recipe!B18</f>
        <v>0</v>
      </c>
      <c r="C18" s="601">
        <f>Recipe!C18</f>
        <v>0</v>
      </c>
      <c r="D18" s="602"/>
      <c r="E18" s="602"/>
      <c r="F18" s="602"/>
      <c r="G18" s="602"/>
      <c r="H18" s="603"/>
      <c r="I18" s="444">
        <f>IF(C18=0,,VLOOKUP(C18,Fermentables!B:D,3))</f>
        <v>0</v>
      </c>
      <c r="J18" s="293">
        <f>ROUNDDOWN(IF(Units="metric",(NewVol/Recipe!Volume)*(Recipe!J18+Recipe!K18/1000),(NewVol/Recipe!Volume)*(Recipe!J18+Recipe!K18/16)),0)</f>
        <v>0</v>
      </c>
      <c r="K18" s="293">
        <f>(IF(Units="metric",(NewVol/Recipe!Volume)*(Recipe!J18+Recipe!K18/1000),(NewVol/Recipe!Volume)*(Recipe!J18+Recipe!K18/16))-ROUNDDOWN(IF(Units="metric",(NewVol/Recipe!Volume)*(Recipe!J18+Recipe!K18/1000),(NewVol/Recipe!Volume)*(Recipe!J18+Recipe!K18/16)),0))*16</f>
        <v>0</v>
      </c>
      <c r="L18" s="280">
        <f t="shared" si="0"/>
        <v>0</v>
      </c>
      <c r="M18" s="275">
        <f t="shared" si="1"/>
        <v>0</v>
      </c>
      <c r="N18" s="197">
        <f>IF(C18=0,,(VLOOKUP(C18,Fermentables!B:D,2)/IF(Units="metric",0.45359237,1)))</f>
        <v>0</v>
      </c>
      <c r="O18" s="198">
        <f t="shared" si="2"/>
        <v>0</v>
      </c>
      <c r="Q18" s="214">
        <f>Recipe!Q18</f>
        <v>0</v>
      </c>
      <c r="R18" s="593">
        <f>Recipe!R18</f>
        <v>0</v>
      </c>
      <c r="S18" s="595">
        <f>Recipe!S18</f>
        <v>0</v>
      </c>
      <c r="T18" s="215">
        <f>Recipe!T18</f>
        <v>0</v>
      </c>
      <c r="U18" s="215">
        <f>Recipe!U18</f>
        <v>0</v>
      </c>
      <c r="V18" s="294">
        <f>(NewVol/Recipe!Volume)*Recipe!V18</f>
        <v>0</v>
      </c>
      <c r="W18" s="33">
        <f t="shared" si="4"/>
        <v>0</v>
      </c>
      <c r="X18" s="200">
        <f t="shared" si="3"/>
        <v>0</v>
      </c>
      <c r="Z18" s="369"/>
      <c r="AA18" s="369"/>
      <c r="AB18" s="369"/>
      <c r="AC18" s="369"/>
      <c r="AD18" s="369"/>
      <c r="AE18" s="369"/>
      <c r="AF18" s="369"/>
    </row>
    <row r="19" spans="2:32" ht="15" customHeight="1" x14ac:dyDescent="0.25">
      <c r="B19" s="313">
        <f>Recipe!B19</f>
        <v>0</v>
      </c>
      <c r="C19" s="601">
        <f>Recipe!C19</f>
        <v>0</v>
      </c>
      <c r="D19" s="602"/>
      <c r="E19" s="602"/>
      <c r="F19" s="602"/>
      <c r="G19" s="602"/>
      <c r="H19" s="603"/>
      <c r="I19" s="444">
        <f>IF(C19=0,,VLOOKUP(C19,Fermentables!B:D,3))</f>
        <v>0</v>
      </c>
      <c r="J19" s="293">
        <f>ROUNDDOWN(IF(Units="metric",(NewVol/Recipe!Volume)*(Recipe!J19+Recipe!K19/1000),(NewVol/Recipe!Volume)*(Recipe!J19+Recipe!K19/16)),0)</f>
        <v>0</v>
      </c>
      <c r="K19" s="293">
        <f>(IF(Units="metric",(NewVol/Recipe!Volume)*(Recipe!J19+Recipe!K19/1000),(NewVol/Recipe!Volume)*(Recipe!J19+Recipe!K19/16))-ROUNDDOWN(IF(Units="metric",(NewVol/Recipe!Volume)*(Recipe!J19+Recipe!K19/1000),(NewVol/Recipe!Volume)*(Recipe!J19+Recipe!K19/16)),0))*16</f>
        <v>0</v>
      </c>
      <c r="L19" s="280">
        <f t="shared" si="0"/>
        <v>0</v>
      </c>
      <c r="M19" s="275">
        <f t="shared" si="1"/>
        <v>0</v>
      </c>
      <c r="N19" s="197">
        <f>IF(C19=0,,(VLOOKUP(C19,Fermentables!B:D,2)/IF(Units="metric",0.45359237,1)))</f>
        <v>0</v>
      </c>
      <c r="O19" s="198">
        <f t="shared" si="2"/>
        <v>0</v>
      </c>
      <c r="Q19" s="214">
        <f>Recipe!Q19</f>
        <v>0</v>
      </c>
      <c r="R19" s="593">
        <f>Recipe!R19</f>
        <v>0</v>
      </c>
      <c r="S19" s="594">
        <f>Recipe!S19</f>
        <v>0</v>
      </c>
      <c r="T19" s="215">
        <f>Recipe!T19</f>
        <v>0</v>
      </c>
      <c r="U19" s="215">
        <f>Recipe!U19</f>
        <v>0</v>
      </c>
      <c r="V19" s="294">
        <f>(NewVol/Recipe!Volume)*Recipe!V19</f>
        <v>0</v>
      </c>
      <c r="W19" s="33">
        <f t="shared" si="4"/>
        <v>0</v>
      </c>
      <c r="X19" s="200">
        <f t="shared" si="3"/>
        <v>0</v>
      </c>
      <c r="Z19" s="369"/>
      <c r="AA19" s="369"/>
      <c r="AB19" s="369"/>
      <c r="AC19" s="369"/>
      <c r="AD19" s="369"/>
      <c r="AE19" s="369"/>
      <c r="AF19" s="369"/>
    </row>
    <row r="20" spans="2:32" ht="15" customHeight="1" x14ac:dyDescent="0.25">
      <c r="B20" s="313">
        <f>Recipe!B20</f>
        <v>0</v>
      </c>
      <c r="C20" s="601">
        <f>Recipe!C20</f>
        <v>0</v>
      </c>
      <c r="D20" s="602"/>
      <c r="E20" s="602"/>
      <c r="F20" s="602"/>
      <c r="G20" s="602"/>
      <c r="H20" s="603"/>
      <c r="I20" s="444">
        <f>IF(C20=0,,VLOOKUP(C20,Fermentables!B:D,3))</f>
        <v>0</v>
      </c>
      <c r="J20" s="293">
        <f>ROUNDDOWN(IF(Units="metric",(NewVol/Recipe!Volume)*(Recipe!J20+Recipe!K20/1000),(NewVol/Recipe!Volume)*(Recipe!J20+Recipe!K20/16)),0)</f>
        <v>0</v>
      </c>
      <c r="K20" s="293">
        <f>(IF(Units="metric",(NewVol/Recipe!Volume)*(Recipe!J20+Recipe!K20/1000),(NewVol/Recipe!Volume)*(Recipe!J20+Recipe!K20/16))-ROUNDDOWN(IF(Units="metric",(NewVol/Recipe!Volume)*(Recipe!J20+Recipe!K20/1000),(NewVol/Recipe!Volume)*(Recipe!J20+Recipe!K20/16)),0))*16</f>
        <v>0</v>
      </c>
      <c r="L20" s="280">
        <f t="shared" si="0"/>
        <v>0</v>
      </c>
      <c r="M20" s="275">
        <f t="shared" si="1"/>
        <v>0</v>
      </c>
      <c r="N20" s="197">
        <f>IF(C20=0,,(VLOOKUP(C20,Fermentables!B:D,2)/IF(Units="metric",0.45359237,1)))</f>
        <v>0</v>
      </c>
      <c r="O20" s="198">
        <f t="shared" si="2"/>
        <v>0</v>
      </c>
      <c r="Q20" s="214">
        <f>Recipe!Q20</f>
        <v>0</v>
      </c>
      <c r="R20" s="593">
        <f>Recipe!R20</f>
        <v>0</v>
      </c>
      <c r="S20" s="594">
        <f>Recipe!S20</f>
        <v>0</v>
      </c>
      <c r="T20" s="215">
        <f>Recipe!T20</f>
        <v>0</v>
      </c>
      <c r="U20" s="215">
        <f>Recipe!U20</f>
        <v>0</v>
      </c>
      <c r="V20" s="294">
        <f>(NewVol/Recipe!Volume)*Recipe!V20</f>
        <v>0</v>
      </c>
      <c r="W20" s="33">
        <f t="shared" si="4"/>
        <v>0</v>
      </c>
      <c r="X20" s="200">
        <f t="shared" si="3"/>
        <v>0</v>
      </c>
      <c r="Z20" s="369"/>
      <c r="AA20" s="369"/>
      <c r="AB20" s="369"/>
      <c r="AC20" s="369"/>
      <c r="AD20" s="369"/>
      <c r="AE20" s="369"/>
      <c r="AF20" s="369"/>
    </row>
    <row r="21" spans="2:32" ht="15" customHeight="1" x14ac:dyDescent="0.25">
      <c r="B21" s="313">
        <f>Recipe!B21</f>
        <v>0</v>
      </c>
      <c r="C21" s="601">
        <f>Recipe!C21</f>
        <v>0</v>
      </c>
      <c r="D21" s="602"/>
      <c r="E21" s="602"/>
      <c r="F21" s="602"/>
      <c r="G21" s="602"/>
      <c r="H21" s="603"/>
      <c r="I21" s="444">
        <f>IF(C21=0,,VLOOKUP(C21,Fermentables!B:D,3))</f>
        <v>0</v>
      </c>
      <c r="J21" s="293">
        <f>ROUNDDOWN(IF(Units="metric",(NewVol/Recipe!Volume)*(Recipe!J21+Recipe!K21/1000),(NewVol/Recipe!Volume)*(Recipe!J21+Recipe!K21/16)),0)</f>
        <v>0</v>
      </c>
      <c r="K21" s="293">
        <f>(IF(Units="metric",(NewVol/Recipe!Volume)*(Recipe!J21+Recipe!K21/1000),(NewVol/Recipe!Volume)*(Recipe!J21+Recipe!K21/16))-ROUNDDOWN(IF(Units="metric",(NewVol/Recipe!Volume)*(Recipe!J21+Recipe!K21/1000),(NewVol/Recipe!Volume)*(Recipe!J21+Recipe!K21/16)),0))*16</f>
        <v>0</v>
      </c>
      <c r="L21" s="280">
        <f t="shared" si="0"/>
        <v>0</v>
      </c>
      <c r="M21" s="275">
        <f t="shared" si="1"/>
        <v>0</v>
      </c>
      <c r="N21" s="197">
        <f>IF(C21=0,,(VLOOKUP(C21,Fermentables!B:D,2)/IF(Units="metric",0.45359237,1)))</f>
        <v>0</v>
      </c>
      <c r="O21" s="198">
        <f t="shared" si="2"/>
        <v>0</v>
      </c>
      <c r="Q21" s="214">
        <f>Recipe!Q21</f>
        <v>0</v>
      </c>
      <c r="R21" s="593">
        <f>Recipe!R21</f>
        <v>0</v>
      </c>
      <c r="S21" s="594">
        <f>Recipe!S21</f>
        <v>0</v>
      </c>
      <c r="T21" s="215">
        <f>Recipe!T21</f>
        <v>0</v>
      </c>
      <c r="U21" s="215">
        <f>Recipe!U21</f>
        <v>0</v>
      </c>
      <c r="V21" s="294">
        <f>(NewVol/Recipe!Volume)*Recipe!V21</f>
        <v>0</v>
      </c>
      <c r="W21" s="33">
        <f t="shared" si="4"/>
        <v>0</v>
      </c>
      <c r="X21" s="200">
        <f t="shared" si="3"/>
        <v>0</v>
      </c>
      <c r="Z21" s="369"/>
      <c r="AA21" s="369"/>
      <c r="AB21" s="369"/>
      <c r="AC21" s="369"/>
      <c r="AD21" s="369"/>
      <c r="AE21" s="369"/>
      <c r="AF21" s="369"/>
    </row>
    <row r="22" spans="2:32" ht="15" customHeight="1" x14ac:dyDescent="0.25">
      <c r="B22" s="313">
        <f>Recipe!B22</f>
        <v>0</v>
      </c>
      <c r="C22" s="601">
        <f>Recipe!C22</f>
        <v>0</v>
      </c>
      <c r="D22" s="602"/>
      <c r="E22" s="602"/>
      <c r="F22" s="602"/>
      <c r="G22" s="602"/>
      <c r="H22" s="603"/>
      <c r="I22" s="444">
        <f>IF(C22=0,,VLOOKUP(C22,Fermentables!B:D,3))</f>
        <v>0</v>
      </c>
      <c r="J22" s="293">
        <f>ROUNDDOWN(IF(Units="metric",(NewVol/Recipe!Volume)*(Recipe!J22+Recipe!K22/1000),(NewVol/Recipe!Volume)*(Recipe!J22+Recipe!K22/16)),0)</f>
        <v>0</v>
      </c>
      <c r="K22" s="293">
        <f>(IF(Units="metric",(NewVol/Recipe!Volume)*(Recipe!J22+Recipe!K22/1000),(NewVol/Recipe!Volume)*(Recipe!J22+Recipe!K22/16))-ROUNDDOWN(IF(Units="metric",(NewVol/Recipe!Volume)*(Recipe!J22+Recipe!K22/1000),(NewVol/Recipe!Volume)*(Recipe!J22+Recipe!K22/16)),0))*16</f>
        <v>0</v>
      </c>
      <c r="L22" s="280">
        <f t="shared" si="0"/>
        <v>0</v>
      </c>
      <c r="M22" s="275">
        <f t="shared" si="1"/>
        <v>0</v>
      </c>
      <c r="N22" s="197">
        <f>IF(C22=0,,(VLOOKUP(C22,Fermentables!B:D,2)/IF(Units="metric",0.45359237,1)))</f>
        <v>0</v>
      </c>
      <c r="O22" s="198">
        <f t="shared" si="2"/>
        <v>0</v>
      </c>
      <c r="Q22" s="214">
        <f>Recipe!Q22</f>
        <v>0</v>
      </c>
      <c r="R22" s="593">
        <f>Recipe!R22</f>
        <v>0</v>
      </c>
      <c r="S22" s="594">
        <f>Recipe!S22</f>
        <v>0</v>
      </c>
      <c r="T22" s="215">
        <f>Recipe!T22</f>
        <v>0</v>
      </c>
      <c r="U22" s="215">
        <f>Recipe!U22</f>
        <v>0</v>
      </c>
      <c r="V22" s="294">
        <f>(NewVol/Recipe!Volume)*Recipe!V22</f>
        <v>0</v>
      </c>
      <c r="W22" s="33">
        <f t="shared" si="4"/>
        <v>0</v>
      </c>
      <c r="X22" s="200">
        <f t="shared" si="3"/>
        <v>0</v>
      </c>
      <c r="Z22" s="369"/>
      <c r="AA22" s="369"/>
      <c r="AB22" s="369"/>
      <c r="AC22" s="369"/>
      <c r="AD22" s="369"/>
      <c r="AE22" s="369"/>
      <c r="AF22" s="369"/>
    </row>
    <row r="23" spans="2:32" ht="15" customHeight="1" x14ac:dyDescent="0.25">
      <c r="B23" s="313">
        <f>Recipe!B23</f>
        <v>0</v>
      </c>
      <c r="C23" s="601">
        <f>Recipe!C23</f>
        <v>0</v>
      </c>
      <c r="D23" s="602"/>
      <c r="E23" s="602"/>
      <c r="F23" s="602"/>
      <c r="G23" s="602"/>
      <c r="H23" s="603"/>
      <c r="I23" s="444">
        <f>IF(C23=0,,VLOOKUP(C23,Fermentables!B:D,3))</f>
        <v>0</v>
      </c>
      <c r="J23" s="293">
        <f>ROUNDDOWN(IF(Units="metric",(NewVol/Recipe!Volume)*(Recipe!J23+Recipe!K23/1000),(NewVol/Recipe!Volume)*(Recipe!J23+Recipe!K23/16)),0)</f>
        <v>0</v>
      </c>
      <c r="K23" s="293">
        <f>(IF(Units="metric",(NewVol/Recipe!Volume)*(Recipe!J23+Recipe!K23/1000),(NewVol/Recipe!Volume)*(Recipe!J23+Recipe!K23/16))-ROUNDDOWN(IF(Units="metric",(NewVol/Recipe!Volume)*(Recipe!J23+Recipe!K23/1000),(NewVol/Recipe!Volume)*(Recipe!J23+Recipe!K23/16)),0))*16</f>
        <v>0</v>
      </c>
      <c r="L23" s="280">
        <f t="shared" si="0"/>
        <v>0</v>
      </c>
      <c r="M23" s="275">
        <f t="shared" si="1"/>
        <v>0</v>
      </c>
      <c r="N23" s="197">
        <f>IF(C23=0,,(VLOOKUP(C23,Fermentables!B:D,2)/IF(Units="metric",0.45359237,1)))</f>
        <v>0</v>
      </c>
      <c r="O23" s="198">
        <f t="shared" si="2"/>
        <v>0</v>
      </c>
      <c r="Q23" s="214">
        <f>Recipe!Q23</f>
        <v>0</v>
      </c>
      <c r="R23" s="593">
        <f>Recipe!R23</f>
        <v>0</v>
      </c>
      <c r="S23" s="594">
        <f>Recipe!S23</f>
        <v>0</v>
      </c>
      <c r="T23" s="215">
        <f>Recipe!T23</f>
        <v>0</v>
      </c>
      <c r="U23" s="215">
        <f>Recipe!U23</f>
        <v>0</v>
      </c>
      <c r="V23" s="294">
        <f>(NewVol/Recipe!Volume)*Recipe!V23</f>
        <v>0</v>
      </c>
      <c r="W23" s="33">
        <f t="shared" si="4"/>
        <v>0</v>
      </c>
      <c r="X23" s="200">
        <f t="shared" si="3"/>
        <v>0</v>
      </c>
      <c r="Z23" s="369"/>
      <c r="AA23" s="369"/>
      <c r="AB23" s="369"/>
      <c r="AC23" s="369"/>
      <c r="AD23" s="369"/>
      <c r="AE23" s="369"/>
      <c r="AF23" s="369"/>
    </row>
    <row r="24" spans="2:32" ht="15" customHeight="1" x14ac:dyDescent="0.25">
      <c r="B24" s="313">
        <f>Recipe!B24</f>
        <v>0</v>
      </c>
      <c r="C24" s="601">
        <f>Recipe!C24</f>
        <v>0</v>
      </c>
      <c r="D24" s="602"/>
      <c r="E24" s="602"/>
      <c r="F24" s="602"/>
      <c r="G24" s="602"/>
      <c r="H24" s="603"/>
      <c r="I24" s="444">
        <f>IF(C24=0,,VLOOKUP(C24,Fermentables!B:D,3))</f>
        <v>0</v>
      </c>
      <c r="J24" s="293">
        <f>ROUNDDOWN(IF(Units="metric",(NewVol/Recipe!Volume)*(Recipe!J24+Recipe!K24/1000),(NewVol/Recipe!Volume)*(Recipe!J24+Recipe!K24/16)),0)</f>
        <v>0</v>
      </c>
      <c r="K24" s="293">
        <f>(IF(Units="metric",(NewVol/Recipe!Volume)*(Recipe!J24+Recipe!K24/1000),(NewVol/Recipe!Volume)*(Recipe!J24+Recipe!K24/16))-ROUNDDOWN(IF(Units="metric",(NewVol/Recipe!Volume)*(Recipe!J24+Recipe!K24/1000),(NewVol/Recipe!Volume)*(Recipe!J24+Recipe!K24/16)),0))*16</f>
        <v>0</v>
      </c>
      <c r="L24" s="280">
        <f t="shared" si="0"/>
        <v>0</v>
      </c>
      <c r="M24" s="275">
        <f t="shared" si="1"/>
        <v>0</v>
      </c>
      <c r="N24" s="197">
        <f>IF(C24=0,,(VLOOKUP(C24,Fermentables!B:D,2)/IF(Units="metric",0.45359237,1)))</f>
        <v>0</v>
      </c>
      <c r="O24" s="198">
        <f t="shared" si="2"/>
        <v>0</v>
      </c>
      <c r="Q24" s="214">
        <f>Recipe!Q24</f>
        <v>0</v>
      </c>
      <c r="R24" s="593">
        <f>Recipe!R24</f>
        <v>0</v>
      </c>
      <c r="S24" s="594">
        <f>Recipe!S24</f>
        <v>0</v>
      </c>
      <c r="T24" s="215">
        <f>Recipe!T24</f>
        <v>0</v>
      </c>
      <c r="U24" s="215">
        <f>Recipe!U24</f>
        <v>0</v>
      </c>
      <c r="V24" s="294">
        <f>(NewVol/Recipe!Volume)*Recipe!V24</f>
        <v>0</v>
      </c>
      <c r="W24" s="33">
        <f t="shared" si="4"/>
        <v>0</v>
      </c>
      <c r="X24" s="200">
        <f t="shared" si="3"/>
        <v>0</v>
      </c>
      <c r="Z24" s="369"/>
      <c r="AA24" s="369"/>
      <c r="AB24" s="369"/>
      <c r="AC24" s="369"/>
      <c r="AD24" s="369"/>
      <c r="AE24" s="369"/>
      <c r="AF24" s="369"/>
    </row>
    <row r="25" spans="2:32" ht="15" customHeight="1" x14ac:dyDescent="0.25">
      <c r="B25" s="313">
        <f>Recipe!B25</f>
        <v>0</v>
      </c>
      <c r="C25" s="601">
        <f>Recipe!C25</f>
        <v>0</v>
      </c>
      <c r="D25" s="602"/>
      <c r="E25" s="602"/>
      <c r="F25" s="602"/>
      <c r="G25" s="602"/>
      <c r="H25" s="603"/>
      <c r="I25" s="444">
        <f>IF(C25=0,,VLOOKUP(C25,Fermentables!B:D,3))</f>
        <v>0</v>
      </c>
      <c r="J25" s="293">
        <f>ROUNDDOWN(IF(Units="metric",(NewVol/Recipe!Volume)*(Recipe!J25+Recipe!K25/1000),(NewVol/Recipe!Volume)*(Recipe!J25+Recipe!K25/16)),0)</f>
        <v>0</v>
      </c>
      <c r="K25" s="293">
        <f>(IF(Units="metric",(NewVol/Recipe!Volume)*(Recipe!J25+Recipe!K25/1000),(NewVol/Recipe!Volume)*(Recipe!J25+Recipe!K25/16))-ROUNDDOWN(IF(Units="metric",(NewVol/Recipe!Volume)*(Recipe!J25+Recipe!K25/1000),(NewVol/Recipe!Volume)*(Recipe!J25+Recipe!K25/16)),0))*16</f>
        <v>0</v>
      </c>
      <c r="L25" s="280">
        <f t="shared" si="0"/>
        <v>0</v>
      </c>
      <c r="M25" s="275">
        <f t="shared" si="1"/>
        <v>0</v>
      </c>
      <c r="N25" s="197">
        <f>IF(C25=0,,(VLOOKUP(C25,Fermentables!B:D,2)/IF(Units="metric",0.45359237,1)))</f>
        <v>0</v>
      </c>
      <c r="O25" s="198">
        <f t="shared" si="2"/>
        <v>0</v>
      </c>
      <c r="Q25" s="214">
        <f>Recipe!Q25</f>
        <v>0</v>
      </c>
      <c r="R25" s="593">
        <f>Recipe!R25</f>
        <v>0</v>
      </c>
      <c r="S25" s="594">
        <f>Recipe!S25</f>
        <v>0</v>
      </c>
      <c r="T25" s="215">
        <f>Recipe!T25</f>
        <v>0</v>
      </c>
      <c r="U25" s="215">
        <f>Recipe!U25</f>
        <v>0</v>
      </c>
      <c r="V25" s="294">
        <f>(NewVol/Recipe!Volume)*Recipe!V25</f>
        <v>0</v>
      </c>
      <c r="W25" s="33">
        <f t="shared" ref="W25" si="5">IF(HopUnits="grams",T25*100*V25/28.3495231,T25*100*V25)</f>
        <v>0</v>
      </c>
      <c r="X25" s="200">
        <f t="shared" ref="X25" si="6">IF(OR(Volume=0,OriginalGravity=0,Q25="flame out"),,IF(Q25="dry hops",,IF(HopCalc="Rager",IF(U25="pellet",1.1,1)*IF(Q25="Mash",0.2,1)*IF(Q25="FWH",1.1,1)*V25*T25*1000*IF(HopUnits="grams",1,28.349523125)*IF(Units="metric",1,0.264172052358)*((18.11+13.86*TANH((IF(OR(Q25="FWH",Q25="mash"),BoilTime,Q25)-31.32)/18.27))/100)/(Volume*(1+(OriginalGravity-1.05)/0.2)),IF(U25="pellet",1.1,1)*IF(Q25="Mash",0.2,1)*IF(Q25="FWH",1.1,1)*(T25*V25*1000*IF(HopUnits="grams",1,28.349523125)*IF(Units="metric",1,0.264172052358)/Volume)*((1-EXP(-0.04*IF(OR(Q25="FWH",Q25="mash"),BoilTime,Q25)))/4.15)*(1.65*0.000125^(OriginalGravity-1)))))</f>
        <v>0</v>
      </c>
      <c r="Z25" s="369"/>
      <c r="AA25" s="369"/>
      <c r="AB25" s="369"/>
      <c r="AC25" s="369"/>
      <c r="AD25" s="369"/>
      <c r="AE25" s="369"/>
      <c r="AF25" s="369"/>
    </row>
    <row r="26" spans="2:32" ht="15" customHeight="1" x14ac:dyDescent="0.25">
      <c r="B26" s="271">
        <f>Recipe!B26</f>
        <v>0</v>
      </c>
      <c r="C26" s="630">
        <f>Recipe!C26</f>
        <v>0</v>
      </c>
      <c r="D26" s="631"/>
      <c r="E26" s="631"/>
      <c r="F26" s="631"/>
      <c r="G26" s="631"/>
      <c r="H26" s="632"/>
      <c r="I26" s="444">
        <f>IF(C26=0,,VLOOKUP(C26,Fermentables!B:D,3))</f>
        <v>0</v>
      </c>
      <c r="J26" s="293">
        <f>ROUNDDOWN(IF(Units="metric",(NewVol/Recipe!Volume)*(Recipe!J26+Recipe!K26/1000),(NewVol/Recipe!Volume)*(Recipe!J26+Recipe!K26/16)),0)</f>
        <v>0</v>
      </c>
      <c r="K26" s="293">
        <f>(IF(Units="metric",(NewVol/Recipe!Volume)*(Recipe!J26+Recipe!K26/1000),(NewVol/Recipe!Volume)*(Recipe!J26+Recipe!K26/16))-ROUNDDOWN(IF(Units="metric",(NewVol/Recipe!Volume)*(Recipe!J26+Recipe!K26/1000),(NewVol/Recipe!Volume)*(Recipe!J26+Recipe!K26/16)),0))*16</f>
        <v>0</v>
      </c>
      <c r="L26" s="281">
        <f t="shared" si="0"/>
        <v>0</v>
      </c>
      <c r="M26" s="275">
        <f t="shared" si="1"/>
        <v>0</v>
      </c>
      <c r="N26" s="197">
        <f>IF(C26=0,,(VLOOKUP(C26,Fermentables!B:D,2)/IF(Units="metric",0.45359237,1)))</f>
        <v>0</v>
      </c>
      <c r="O26" s="198">
        <f t="shared" si="2"/>
        <v>0</v>
      </c>
      <c r="Q26" s="396">
        <f>Recipe!Q26</f>
        <v>0</v>
      </c>
      <c r="R26" s="597">
        <f>Recipe!R26</f>
        <v>0</v>
      </c>
      <c r="S26" s="598">
        <f>Recipe!S26</f>
        <v>0</v>
      </c>
      <c r="T26" s="217">
        <f>Recipe!T26</f>
        <v>0</v>
      </c>
      <c r="U26" s="217">
        <f>Recipe!U26</f>
        <v>0</v>
      </c>
      <c r="V26" s="294">
        <f>(NewVol/Recipe!Volume)*Recipe!V26</f>
        <v>0</v>
      </c>
      <c r="W26" s="33">
        <f>IF(HopUnits="grams",T26*100*V26/28.3495231,T26*100*V26)</f>
        <v>0</v>
      </c>
      <c r="X26" s="200">
        <f>IF(OR(Volume=0,OriginalGravity=0,Q26="flame out"),,IF(Q26="dry hops",,IF(HopCalc="Rager",IF(U26="pellet",1.1,1)*IF(Q26="Mash",0.2,1)*IF(Q26="FWH",1.1,1)*V26*T26*1000*IF(HopUnits="grams",1,28.349523125)*IF(Units="metric",1,0.264172052358)*((18.11+13.86*TANH((IF(OR(Q26="FWH",Q26="mash"),BoilTime,Q26)-31.32)/18.27))/100)/(Volume*(1+(OriginalGravity-1.05)/0.2)),IF(U26="pellet",1.1,1)*IF(Q26="Mash",0.2,1)*IF(Q26="FWH",1.1,1)*(T26*V26*1000*IF(HopUnits="grams",1,28.349523125)*IF(Units="metric",1,0.264172052358)/Volume)*((1-EXP(-0.04*IF(OR(Q26="FWH",Q26="mash"),BoilTime,Q26)))/4.15)*(1.65*0.000125^(OriginalGravity-1)))))</f>
        <v>0</v>
      </c>
      <c r="Z26" s="369"/>
      <c r="AA26" s="369"/>
      <c r="AB26" s="369"/>
      <c r="AC26" s="369"/>
      <c r="AD26" s="369"/>
      <c r="AE26" s="369"/>
      <c r="AF26" s="369"/>
    </row>
    <row r="27" spans="2:32" ht="15" customHeight="1" thickBot="1" x14ac:dyDescent="0.3">
      <c r="B27" s="257" t="str">
        <f>IF(Units="metric","Grains (kg):","Grains (lbs):")</f>
        <v>Grains (lbs):</v>
      </c>
      <c r="C27" s="251">
        <f>SUM(SUMIF(B11:B26,{"Pale","Vienna","Munich","NonBarley","Caramel","Toasted","Roasted","Dextrin","Acid","Flaked","Smoked"},J11:J26))+SUM(SUMIF(B11:B26,{"Pale","Vienna","Munich","NonBarley","Caramel","Toasted","Roasted","Dextrin","Acid","Flaked","Smoked"},K11:K26))/IF(Units="metric",1000,16)</f>
        <v>23.461084905660378</v>
      </c>
      <c r="D27" s="61"/>
      <c r="E27" s="250" t="str">
        <f>IF(Units="metric","Sugars/Extracts (kg):","Sugars/Extracts (lbs):")</f>
        <v>Sugars/Extracts (lbs):</v>
      </c>
      <c r="F27" s="251">
        <f>SUM(SUMIF(B11:B26,{"Extract","Adjunct"},J11:J26))+SUM(SUMIF(B11:B26,{"Extract","Adjunct"},K11:K26))/IF(Units="metric",1000,16)</f>
        <v>0</v>
      </c>
      <c r="G27" s="61"/>
      <c r="H27" s="61"/>
      <c r="I27" s="29"/>
      <c r="J27" s="253" t="str">
        <f>IF(Units="metric","Total Fermentables (kg):","Total Fermentables (lbs):")</f>
        <v>Total Fermentables (lbs):</v>
      </c>
      <c r="K27" s="440">
        <f>SUM(Mass,F27)</f>
        <v>23.461084905660378</v>
      </c>
      <c r="L27" s="256">
        <f>SUM(L11:L26)</f>
        <v>1</v>
      </c>
      <c r="M27" s="254">
        <f>1+SUM(M11:M26)</f>
        <v>1.0571272727272727</v>
      </c>
      <c r="N27" s="34"/>
      <c r="O27" s="255">
        <f>SUM(O11:O26)</f>
        <v>27.100533884393066</v>
      </c>
      <c r="Q27" s="164" t="s">
        <v>1031</v>
      </c>
      <c r="R27" s="397" t="str">
        <f>Recipe!M7</f>
        <v>Tinseth</v>
      </c>
      <c r="S27" s="22"/>
      <c r="T27" s="22"/>
      <c r="U27" s="23"/>
      <c r="V27" s="24" t="s">
        <v>55</v>
      </c>
      <c r="W27" s="25">
        <f>SUM(W11:W26)</f>
        <v>49.471698113207552</v>
      </c>
      <c r="X27" s="177">
        <f>SUM(X11:X26)</f>
        <v>49.790627296773145</v>
      </c>
      <c r="Z27" s="369"/>
      <c r="AA27" s="369"/>
      <c r="AB27" s="369"/>
      <c r="AC27" s="369"/>
      <c r="AD27" s="369"/>
      <c r="AE27" s="369"/>
      <c r="AF27" s="369"/>
    </row>
    <row r="28" spans="2:32" ht="15" customHeight="1" x14ac:dyDescent="0.25">
      <c r="J28" s="178"/>
      <c r="K28" s="18"/>
      <c r="N28" s="178"/>
      <c r="O28" s="178"/>
    </row>
    <row r="29" spans="2:32" ht="15" customHeight="1" thickBot="1" x14ac:dyDescent="0.35">
      <c r="B29" s="338" t="s">
        <v>1021</v>
      </c>
      <c r="Q29" s="339" t="s">
        <v>1022</v>
      </c>
    </row>
    <row r="30" spans="2:32" ht="15" customHeight="1" x14ac:dyDescent="0.25">
      <c r="B30" s="158"/>
      <c r="C30" s="157" t="str">
        <f>IF(Units="metric","Mash °C", "Mash °F")</f>
        <v>Mash °F</v>
      </c>
      <c r="D30" s="352" t="s">
        <v>49</v>
      </c>
      <c r="E30" s="157" t="str">
        <f>IF(Units="metric","H2O °C", "H2O °F")</f>
        <v>H2O °F</v>
      </c>
      <c r="F30" s="157" t="str">
        <f>IF(Units="metric","Liters", "Gallons")</f>
        <v>Gallons</v>
      </c>
      <c r="G30" s="157" t="str">
        <f>IF(Units="metric","Kgs", "Pounds")</f>
        <v>Pounds</v>
      </c>
      <c r="H30" s="327" t="s">
        <v>1026</v>
      </c>
      <c r="I30" s="329" t="s">
        <v>1024</v>
      </c>
      <c r="J30" s="355"/>
      <c r="Q30" s="158"/>
      <c r="R30" s="408" t="str">
        <f>IF(Units="Metric", "Mash Tun Loss (L):", "Mash Tun Loss (gal):")</f>
        <v>Mash Tun Loss (gal):</v>
      </c>
      <c r="S30" s="361">
        <f>Recipe!S30</f>
        <v>0.25</v>
      </c>
      <c r="T30" s="42"/>
      <c r="U30" s="42"/>
      <c r="V30" s="327" t="str">
        <f>IF(Units="Metric", "1st Runnings Vol (L):","1st Runnings Vol (gal):")</f>
        <v>1st Runnings Vol (gal):</v>
      </c>
      <c r="W30" s="358">
        <f>IF(F31=0,,SUM(F31:F33)-Mass*Grain_absorption-S30)</f>
        <v>6.7883254716981138</v>
      </c>
    </row>
    <row r="31" spans="2:32" s="11" customFormat="1" ht="15" customHeight="1" x14ac:dyDescent="0.25">
      <c r="B31" s="160" t="s">
        <v>50</v>
      </c>
      <c r="C31" s="373">
        <f>Recipe!C31</f>
        <v>154</v>
      </c>
      <c r="D31" s="380">
        <f>Recipe!D31</f>
        <v>1.6</v>
      </c>
      <c r="E31" s="373">
        <f>Recipe!E31</f>
        <v>164.5</v>
      </c>
      <c r="F31" s="383">
        <f>IF(C31=0,,Mass*D31/IF(Units="metric",1,4))</f>
        <v>9.3844339622641524</v>
      </c>
      <c r="G31" s="377">
        <f>F31*IF(Units="metric",1,8.345404)</f>
        <v>78.316892726415105</v>
      </c>
      <c r="H31" s="371">
        <f>IF(Units="metric",(Mass/0.45359237)*0.2971+F31,Mass*0.07812+F31)</f>
        <v>11.217213915094341</v>
      </c>
      <c r="I31" s="353">
        <f>Recipe!Grain_absorption</f>
        <v>0.1</v>
      </c>
      <c r="J31" s="165" t="s">
        <v>1028</v>
      </c>
      <c r="K31" s="220"/>
      <c r="L31" s="12"/>
      <c r="M31" s="8"/>
      <c r="N31" s="8"/>
      <c r="O31" s="8"/>
      <c r="Q31" s="161"/>
      <c r="R31" s="220" t="str">
        <f>IF(Units="Metric","Hop Absorption (L):","Hop Absorption (gal):")</f>
        <v>Hop Absorption (gal):</v>
      </c>
      <c r="S31" s="357">
        <f>IF(Units="Metric",SUMIF(U11:U26,"Pellet",(V11:V26))*0.00667630351413357+SUMIF(U11:U26,"Whole",(V11:V26))*0.0133526070282671,SUMIF(U11:U26,"Pellet",(V11:V26))*0.05+SUMIF(U11:U26,"Whole",(V11:V26))*0.1)</f>
        <v>0.43396226415094347</v>
      </c>
      <c r="T31" s="10"/>
      <c r="U31" s="10"/>
      <c r="V31" s="220" t="str">
        <f>IF(Units="Metric", "2nd Runnings Vol (L):","2nd Runnings Vol (gal):")</f>
        <v>2nd Runnings Vol (gal):</v>
      </c>
      <c r="W31" s="359">
        <f>F34</f>
        <v>6.5636792452830193</v>
      </c>
      <c r="X31" s="50"/>
    </row>
    <row r="32" spans="2:32" ht="15" customHeight="1" x14ac:dyDescent="0.25">
      <c r="B32" s="160" t="s">
        <v>51</v>
      </c>
      <c r="C32" s="374">
        <f>Recipe!C32</f>
        <v>0</v>
      </c>
      <c r="D32" s="381">
        <f>IF(Mass=0,,(F31+F32)*IF(M5="metric",1,4)/Mass)</f>
        <v>1.6</v>
      </c>
      <c r="E32" s="374">
        <f>Recipe!E32</f>
        <v>0</v>
      </c>
      <c r="F32" s="384">
        <f>IF(OR(C31=0,C32=0,C32=C31),,(C32-C31)*((IF(Units="metric",0.417270222601,0.05))*Mass+F31)/(E32-C32))</f>
        <v>0</v>
      </c>
      <c r="G32" s="378">
        <f>F32*IF(Units="metric",1,8.345404)</f>
        <v>0</v>
      </c>
      <c r="H32" s="376">
        <f>IF(F32=0,,IF(Units="metric",(Mass/0.45359237)*0.2971+F31+F32,Mass*0.07812+F31+F32))</f>
        <v>0</v>
      </c>
      <c r="I32" s="354" t="s">
        <v>1023</v>
      </c>
      <c r="J32" s="364"/>
      <c r="K32" s="11"/>
      <c r="L32" s="11"/>
      <c r="M32" s="11"/>
      <c r="N32" s="11"/>
      <c r="O32" s="11"/>
      <c r="P32" s="10"/>
      <c r="Q32" s="345"/>
      <c r="R32" s="220" t="str">
        <f>IF(Units="Metric","Kettle Loss (L):","Kettle Loss (gal):")</f>
        <v>Kettle Loss (gal):</v>
      </c>
      <c r="S32" s="357">
        <f>Recipe!S32</f>
        <v>0.5</v>
      </c>
      <c r="T32" s="10"/>
      <c r="U32" s="346"/>
      <c r="V32" s="220" t="str">
        <f>IF(Units="Metric", "Preboil, Target (L):","Preboil, Target (gal):")</f>
        <v>Preboil, Target (gal):</v>
      </c>
      <c r="W32" s="359">
        <f>Volume*S33*BoilTime/60+Volume</f>
        <v>13.127358490566039</v>
      </c>
    </row>
    <row r="33" spans="2:24" ht="15" customHeight="1" x14ac:dyDescent="0.25">
      <c r="B33" s="334" t="s">
        <v>52</v>
      </c>
      <c r="C33" s="374">
        <f>Recipe!C33</f>
        <v>0</v>
      </c>
      <c r="D33" s="381">
        <f>IF(Mass=0,,(F31+F32+F33)*IF(R27="metric",1,4)/Mass)</f>
        <v>1.6</v>
      </c>
      <c r="E33" s="374">
        <f>Recipe!E33</f>
        <v>0</v>
      </c>
      <c r="F33" s="384">
        <f>IF(OR(C31=0,C32=0,C33=0,C33=C32),,(C33-C32)*((IF(Units="metric",0.417270222601,0.05))*Mass+F32+F31)/(E33-C33))</f>
        <v>0</v>
      </c>
      <c r="G33" s="378">
        <f>F33*IF(Units="metric",1,8.345404)</f>
        <v>0</v>
      </c>
      <c r="H33" s="376">
        <f>IF(F33=0,,IF(Units="metric",(Mass/0.45359237)*0.2971+F31+F32+F33,Mass*0.07812+F31+F32+F33))</f>
        <v>0</v>
      </c>
      <c r="I33" s="62">
        <f>Recipe!Grain_Temp</f>
        <v>70</v>
      </c>
      <c r="J33" s="165" t="s">
        <v>1029</v>
      </c>
      <c r="P33" s="10"/>
      <c r="Q33" s="161"/>
      <c r="R33" s="220" t="s">
        <v>1033</v>
      </c>
      <c r="S33" s="362">
        <f>Recipe!S33</f>
        <v>0.1</v>
      </c>
      <c r="T33" s="10"/>
      <c r="U33" s="10"/>
      <c r="V33" s="220" t="str">
        <f>IF(Units="Metric", "Preboil, Actual (L):","Preboil, Actual (gal):")</f>
        <v>Preboil, Actual (gal):</v>
      </c>
      <c r="W33" s="359">
        <f>IF(W30=0,,W30+F34)</f>
        <v>13.352004716981133</v>
      </c>
    </row>
    <row r="34" spans="2:24" ht="15" customHeight="1" thickBot="1" x14ac:dyDescent="0.3">
      <c r="B34" s="164" t="s">
        <v>53</v>
      </c>
      <c r="C34" s="375">
        <f>Recipe!C34</f>
        <v>168</v>
      </c>
      <c r="D34" s="382">
        <f>IF(Mass=0,,F34*IF(R27="metric",1,4)/Mass)</f>
        <v>1.1190751445086706</v>
      </c>
      <c r="E34" s="375">
        <f>Recipe!E34</f>
        <v>170.50206611570249</v>
      </c>
      <c r="F34" s="385">
        <f>W32/2</f>
        <v>6.5636792452830193</v>
      </c>
      <c r="G34" s="379">
        <f>F34*IF(Units="metric",1,8.345404)</f>
        <v>54.776555028301892</v>
      </c>
      <c r="H34" s="372">
        <f>IF(Units="metric",(Mass/0.45359237)*0.2971+F34,Mass*0.07812+F34)</f>
        <v>8.3964591981132077</v>
      </c>
      <c r="I34" s="15"/>
      <c r="J34" s="219"/>
      <c r="P34" s="10"/>
      <c r="Q34" s="218"/>
      <c r="R34" s="328" t="s">
        <v>1020</v>
      </c>
      <c r="S34" s="363">
        <f>Recipe!BoilTime</f>
        <v>60</v>
      </c>
      <c r="T34" s="15"/>
      <c r="U34" s="15"/>
      <c r="V34" s="328" t="str">
        <f>IF(Units="Metric","scale recipe to (L):","Scale recipe to (gal):")</f>
        <v>Scale recipe to (gal):</v>
      </c>
      <c r="W34" s="360">
        <f>(Volume+S32)/((Volume-S31)/Volume)</f>
        <v>12.903168387326451</v>
      </c>
    </row>
    <row r="35" spans="2:24" ht="15" customHeight="1" x14ac:dyDescent="0.25">
      <c r="B35" s="10"/>
      <c r="P35" s="10"/>
    </row>
    <row r="36" spans="2:24" ht="15" customHeight="1" thickBot="1" x14ac:dyDescent="0.35">
      <c r="B36" s="339" t="s">
        <v>63</v>
      </c>
      <c r="C36" s="26"/>
      <c r="D36" s="26"/>
      <c r="E36" s="26"/>
      <c r="F36" s="10"/>
      <c r="G36" s="10"/>
      <c r="H36" s="10"/>
      <c r="P36" s="10"/>
      <c r="Q36" s="336" t="s">
        <v>23</v>
      </c>
      <c r="R36" s="15"/>
      <c r="S36" s="15"/>
      <c r="T36" s="15"/>
      <c r="U36" s="15"/>
      <c r="V36" s="15"/>
      <c r="W36" s="15"/>
      <c r="X36" s="15"/>
    </row>
    <row r="37" spans="2:24" ht="15" customHeight="1" x14ac:dyDescent="0.25">
      <c r="B37" s="623" t="str">
        <f>Recipe!B37</f>
        <v>1056 American Ale</v>
      </c>
      <c r="C37" s="624"/>
      <c r="D37" s="624"/>
      <c r="E37" s="624"/>
      <c r="F37" s="624"/>
      <c r="G37" s="624"/>
      <c r="H37" s="42"/>
      <c r="I37" s="487" t="s">
        <v>21</v>
      </c>
      <c r="J37" s="490">
        <f>Recipe!J37</f>
        <v>0.75</v>
      </c>
      <c r="Q37" s="158"/>
      <c r="R37" s="157" t="s">
        <v>30</v>
      </c>
      <c r="S37" s="157" t="s">
        <v>31</v>
      </c>
      <c r="T37" s="157" t="s">
        <v>32</v>
      </c>
      <c r="U37" s="157" t="s">
        <v>33</v>
      </c>
      <c r="V37" s="157" t="s">
        <v>34</v>
      </c>
      <c r="W37" s="157" t="s">
        <v>35</v>
      </c>
      <c r="X37" s="159" t="s">
        <v>36</v>
      </c>
    </row>
    <row r="38" spans="2:24" ht="15" customHeight="1" thickBot="1" x14ac:dyDescent="0.3">
      <c r="B38" s="441" t="str">
        <f>Recipe!B38</f>
        <v>Ale</v>
      </c>
      <c r="C38" s="442"/>
      <c r="D38" s="486" t="s">
        <v>65</v>
      </c>
      <c r="E38" s="491">
        <f>IF(B37=0,,IF(B38="Ale",750000,(IF(B38="Hybrid",1000000,1500000)))*Volume*IF(Units="metric",1000,3785.411784)*D6/1000000000)</f>
        <v>476.70247779623372</v>
      </c>
      <c r="F38" s="486"/>
      <c r="G38" s="486" t="s">
        <v>1025</v>
      </c>
      <c r="H38" s="492">
        <f>Recipe!H38</f>
        <v>125</v>
      </c>
      <c r="I38" s="486" t="s">
        <v>1030</v>
      </c>
      <c r="J38" s="493" t="str">
        <f>ROUND(IF(H38=0,,E38/(H38)),2)&amp;" L"</f>
        <v>3.81 L</v>
      </c>
      <c r="Q38" s="160" t="s">
        <v>37</v>
      </c>
      <c r="R38" s="295">
        <f>Recipe!R38</f>
        <v>24.666666666666668</v>
      </c>
      <c r="S38" s="295">
        <f>Recipe!S38</f>
        <v>8.3666666666666671</v>
      </c>
      <c r="T38" s="295">
        <f>Recipe!T38</f>
        <v>44.333333333333336</v>
      </c>
      <c r="U38" s="295">
        <f>Recipe!U38</f>
        <v>18</v>
      </c>
      <c r="V38" s="295">
        <f>Recipe!V38</f>
        <v>49</v>
      </c>
      <c r="W38" s="295">
        <f>Recipe!W38</f>
        <v>117.69739775587847</v>
      </c>
      <c r="X38" s="202">
        <f>IF(V38=0,,U38/V38)</f>
        <v>0.36734693877551022</v>
      </c>
    </row>
    <row r="39" spans="2:24" ht="15" customHeight="1" x14ac:dyDescent="0.25">
      <c r="Q39" s="160" t="s">
        <v>38</v>
      </c>
      <c r="R39" s="295">
        <f>Recipe!R39</f>
        <v>61.530666666666662</v>
      </c>
      <c r="S39" s="295">
        <f>Recipe!S39</f>
        <v>8.3666666666666671</v>
      </c>
      <c r="T39" s="295">
        <f>Recipe!T39</f>
        <v>44.333333333333336</v>
      </c>
      <c r="U39" s="295">
        <f>Recipe!U39</f>
        <v>106.476</v>
      </c>
      <c r="V39" s="295">
        <f>Recipe!V39</f>
        <v>49</v>
      </c>
      <c r="W39" s="295">
        <f>Recipe!W39</f>
        <v>117.69739775587847</v>
      </c>
      <c r="X39" s="203">
        <f>IF(V39=0,,U39/V39)</f>
        <v>2.1729795918367345</v>
      </c>
    </row>
    <row r="40" spans="2:24" ht="15" customHeight="1" thickBot="1" x14ac:dyDescent="0.35">
      <c r="B40" s="450" t="s">
        <v>71</v>
      </c>
      <c r="C40" s="451"/>
      <c r="D40" s="451"/>
      <c r="E40" s="451"/>
      <c r="F40" s="451"/>
      <c r="G40" s="451"/>
      <c r="H40" s="451"/>
      <c r="I40" s="451"/>
      <c r="J40" s="452"/>
      <c r="K40" s="452"/>
      <c r="L40" s="452"/>
      <c r="M40" s="452"/>
      <c r="Q40" s="522" t="s">
        <v>1647</v>
      </c>
      <c r="R40" s="523"/>
      <c r="S40" s="495" t="s">
        <v>1648</v>
      </c>
      <c r="T40" s="494">
        <f>Recipe!T40</f>
        <v>3.6</v>
      </c>
      <c r="U40" s="43" t="s">
        <v>1649</v>
      </c>
      <c r="V40" s="494">
        <f>Recipe!V40</f>
        <v>3</v>
      </c>
      <c r="W40" s="604" t="str">
        <f>IF(X39=0,,IF(X39&gt;2,"Very Bitter",IF(X39&gt;1.3,"Bitter",IF(X39&gt;0.75,"Balanced",IF(X39&gt;0.5,"Malty","Very Malty")))))</f>
        <v>Very Bitter</v>
      </c>
      <c r="X40" s="605"/>
    </row>
    <row r="41" spans="2:24" ht="15" customHeight="1" x14ac:dyDescent="0.25">
      <c r="B41" s="625">
        <f>Recipe!B41</f>
        <v>0</v>
      </c>
      <c r="C41" s="602"/>
      <c r="D41" s="602"/>
      <c r="E41" s="602"/>
      <c r="F41" s="602"/>
      <c r="G41" s="602"/>
      <c r="H41" s="602"/>
      <c r="I41" s="602"/>
      <c r="J41" s="602"/>
      <c r="K41" s="602"/>
      <c r="L41" s="602"/>
      <c r="M41" s="626"/>
      <c r="Q41" s="161"/>
      <c r="R41" s="314" t="s">
        <v>39</v>
      </c>
      <c r="S41" s="314" t="s">
        <v>40</v>
      </c>
      <c r="T41" s="314" t="s">
        <v>41</v>
      </c>
      <c r="U41" s="314" t="s">
        <v>42</v>
      </c>
      <c r="V41" s="314" t="s">
        <v>43</v>
      </c>
      <c r="W41" s="314" t="s">
        <v>44</v>
      </c>
      <c r="X41" s="299" t="s">
        <v>45</v>
      </c>
    </row>
    <row r="42" spans="2:24" ht="15" customHeight="1" x14ac:dyDescent="0.25">
      <c r="B42" s="625">
        <f>Recipe!B42</f>
        <v>0</v>
      </c>
      <c r="C42" s="602"/>
      <c r="D42" s="602"/>
      <c r="E42" s="602"/>
      <c r="F42" s="602"/>
      <c r="G42" s="602"/>
      <c r="H42" s="602"/>
      <c r="I42" s="602"/>
      <c r="J42" s="602"/>
      <c r="K42" s="602"/>
      <c r="L42" s="602"/>
      <c r="M42" s="626"/>
      <c r="Q42" s="160" t="s">
        <v>46</v>
      </c>
      <c r="R42" s="295">
        <f>(NewVol/Recipe!Volume)*Recipe!R42</f>
        <v>2.8207547169811322</v>
      </c>
      <c r="S42" s="295">
        <f>(NewVol/Recipe!Volume)*Recipe!S42</f>
        <v>0</v>
      </c>
      <c r="T42" s="295">
        <f>(NewVol/Recipe!Volume)*Recipe!T42</f>
        <v>0</v>
      </c>
      <c r="U42" s="295">
        <f>(NewVol/Recipe!Volume)*Recipe!U42</f>
        <v>0</v>
      </c>
      <c r="V42" s="295">
        <f>(NewVol/Recipe!Volume)*Recipe!V42</f>
        <v>0</v>
      </c>
      <c r="W42" s="295">
        <f>(NewVol/Recipe!Volume)*Recipe!W42</f>
        <v>0</v>
      </c>
      <c r="X42" s="296">
        <f>(NewVol/Recipe!Volume)*Recipe!X42</f>
        <v>0</v>
      </c>
    </row>
    <row r="43" spans="2:24" ht="15" customHeight="1" x14ac:dyDescent="0.25">
      <c r="B43" s="625">
        <f>Recipe!B43</f>
        <v>0</v>
      </c>
      <c r="C43" s="602"/>
      <c r="D43" s="602"/>
      <c r="E43" s="602"/>
      <c r="F43" s="602"/>
      <c r="G43" s="602"/>
      <c r="H43" s="602"/>
      <c r="I43" s="602"/>
      <c r="J43" s="602"/>
      <c r="K43" s="602"/>
      <c r="L43" s="602"/>
      <c r="M43" s="626"/>
      <c r="Q43" s="160" t="s">
        <v>47</v>
      </c>
      <c r="R43" s="295">
        <f>(NewVol/Recipe!Volume)*Recipe!R43</f>
        <v>1.9528301886792454</v>
      </c>
      <c r="S43" s="295">
        <f>(NewVol/Recipe!Volume)*Recipe!S43</f>
        <v>0</v>
      </c>
      <c r="T43" s="295">
        <f>(NewVol/Recipe!Volume)*Recipe!T43</f>
        <v>0</v>
      </c>
      <c r="U43" s="295">
        <f>(NewVol/Recipe!Volume)*Recipe!U43</f>
        <v>0</v>
      </c>
      <c r="V43" s="295">
        <f>(NewVol/Recipe!Volume)*Recipe!V43</f>
        <v>0</v>
      </c>
      <c r="W43" s="295">
        <f>(NewVol/Recipe!Volume)*Recipe!W43</f>
        <v>0</v>
      </c>
      <c r="X43" s="296">
        <f>(NewVol/Recipe!Volume)*Recipe!X43</f>
        <v>0</v>
      </c>
    </row>
    <row r="44" spans="2:24" ht="15" customHeight="1" thickBot="1" x14ac:dyDescent="0.3">
      <c r="B44" s="625">
        <f>Recipe!B44</f>
        <v>0</v>
      </c>
      <c r="C44" s="602"/>
      <c r="D44" s="602"/>
      <c r="E44" s="602"/>
      <c r="F44" s="602"/>
      <c r="G44" s="602"/>
      <c r="H44" s="602"/>
      <c r="I44" s="602"/>
      <c r="J44" s="602"/>
      <c r="K44" s="602"/>
      <c r="L44" s="602"/>
      <c r="M44" s="626"/>
      <c r="Q44" s="164" t="s">
        <v>48</v>
      </c>
      <c r="R44" s="70">
        <f>SUM(R42:R43)</f>
        <v>4.7735849056603774</v>
      </c>
      <c r="S44" s="71">
        <f t="shared" ref="S44:X44" si="7">SUM(S42:S43)</f>
        <v>0</v>
      </c>
      <c r="T44" s="71">
        <f t="shared" si="7"/>
        <v>0</v>
      </c>
      <c r="U44" s="71">
        <f t="shared" si="7"/>
        <v>0</v>
      </c>
      <c r="V44" s="71">
        <f t="shared" si="7"/>
        <v>0</v>
      </c>
      <c r="W44" s="71">
        <f t="shared" si="7"/>
        <v>0</v>
      </c>
      <c r="X44" s="199">
        <f t="shared" si="7"/>
        <v>0</v>
      </c>
    </row>
    <row r="45" spans="2:24" ht="15" customHeight="1" x14ac:dyDescent="0.25">
      <c r="B45" s="625">
        <f>Recipe!B45</f>
        <v>0</v>
      </c>
      <c r="C45" s="602"/>
      <c r="D45" s="602"/>
      <c r="E45" s="602"/>
      <c r="F45" s="602"/>
      <c r="G45" s="602"/>
      <c r="H45" s="602"/>
      <c r="I45" s="602"/>
      <c r="J45" s="602"/>
      <c r="K45" s="602"/>
      <c r="L45" s="602"/>
      <c r="M45" s="626"/>
    </row>
    <row r="46" spans="2:24" ht="15" customHeight="1" thickBot="1" x14ac:dyDescent="0.35">
      <c r="B46" s="625">
        <f>Recipe!B46</f>
        <v>0</v>
      </c>
      <c r="C46" s="602"/>
      <c r="D46" s="602"/>
      <c r="E46" s="602"/>
      <c r="F46" s="602"/>
      <c r="G46" s="602"/>
      <c r="H46" s="602"/>
      <c r="I46" s="602"/>
      <c r="J46" s="602"/>
      <c r="K46" s="602"/>
      <c r="L46" s="602"/>
      <c r="M46" s="626"/>
      <c r="Q46" s="336" t="s">
        <v>66</v>
      </c>
      <c r="R46" s="15"/>
      <c r="S46" s="15"/>
      <c r="T46" s="15"/>
      <c r="U46" s="15"/>
      <c r="V46" s="15"/>
      <c r="W46" s="15"/>
      <c r="X46" s="15"/>
    </row>
    <row r="47" spans="2:24" x14ac:dyDescent="0.25">
      <c r="B47" s="625">
        <f>Recipe!B47</f>
        <v>0</v>
      </c>
      <c r="C47" s="602"/>
      <c r="D47" s="602"/>
      <c r="E47" s="602"/>
      <c r="F47" s="602"/>
      <c r="G47" s="602"/>
      <c r="H47" s="602"/>
      <c r="I47" s="602"/>
      <c r="J47" s="602"/>
      <c r="K47" s="602"/>
      <c r="L47" s="602"/>
      <c r="M47" s="626"/>
      <c r="Q47" s="167" t="s">
        <v>67</v>
      </c>
      <c r="R47" s="216">
        <f>Recipe!VolCO2</f>
        <v>2.5</v>
      </c>
      <c r="S47" s="596" t="str">
        <f>IF(Units="metric","Beer Vol (L)","Beer Vol (gal)")</f>
        <v>Beer Vol (gal)</v>
      </c>
      <c r="T47" s="596"/>
      <c r="U47" s="297">
        <f>ConvertedVolume</f>
        <v>11.933962264150944</v>
      </c>
      <c r="V47" s="606" t="str">
        <f>IF(Units="metric","Beer Temp (C)","Beer Temp (F)")</f>
        <v>Beer Temp (F)</v>
      </c>
      <c r="W47" s="606"/>
      <c r="X47" s="224">
        <f>Recipe!BeerTemp</f>
        <v>65</v>
      </c>
    </row>
    <row r="48" spans="2:24" x14ac:dyDescent="0.25">
      <c r="B48" s="625">
        <f>Recipe!B48</f>
        <v>0</v>
      </c>
      <c r="C48" s="602"/>
      <c r="D48" s="602"/>
      <c r="E48" s="602"/>
      <c r="F48" s="602"/>
      <c r="G48" s="602"/>
      <c r="H48" s="602"/>
      <c r="I48" s="602"/>
      <c r="J48" s="602"/>
      <c r="K48" s="602"/>
      <c r="L48" s="602"/>
      <c r="M48" s="626"/>
      <c r="Q48" s="160" t="str">
        <f>IF(Units="metric","g sugar","oz sugar")</f>
        <v>oz sugar</v>
      </c>
      <c r="R48" s="298">
        <f>IF(OR(VolCO2=0,BeerTemp=0),,(VolCO2-(3.0378-(0.050062*IF(TempUnits="Beer Temp (C)",BeerTemp*9/5+32,BeerTemp))+(0.00026555*(IF(TempUnits="Beer Temp (C)",BeerTemp*9/5+32,BeerTemp))^2)))*IF(Sugar="Cane or table sugar (sucrose)", 3.82,(IF(Sugar="Corn sugar (glucose/dextrose)", 4.02,(IF(Sugar="DME Munton &amp; Fison (75% AA)", 6.8,(IF(Sugar="DME Northwestern (70% AA)", 7.2,(IF(Sugar="DME Laaglander (55% AA)", 9.3,))))))))))*BeerVol*IF(PrimingUnits="g sugar",1,0.03527396195)*IF(BeerVolUnits="Beer Vol (L)",1,3.785411784)</f>
        <v>10.212757591168499</v>
      </c>
      <c r="S48" s="10"/>
      <c r="T48" s="220" t="s">
        <v>68</v>
      </c>
      <c r="U48" s="599" t="str">
        <f>Recipe!Sugar</f>
        <v>Corn sugar (glucose/dextrose)</v>
      </c>
      <c r="V48" s="599"/>
      <c r="W48" s="599"/>
      <c r="X48" s="600"/>
    </row>
    <row r="49" spans="2:24" ht="15.75" thickBot="1" x14ac:dyDescent="0.3">
      <c r="B49" s="627">
        <f>Recipe!B49</f>
        <v>0</v>
      </c>
      <c r="C49" s="628"/>
      <c r="D49" s="628"/>
      <c r="E49" s="628"/>
      <c r="F49" s="628"/>
      <c r="G49" s="628"/>
      <c r="H49" s="628"/>
      <c r="I49" s="628"/>
      <c r="J49" s="628"/>
      <c r="K49" s="628"/>
      <c r="L49" s="628"/>
      <c r="M49" s="629"/>
      <c r="Q49" s="164" t="s">
        <v>70</v>
      </c>
      <c r="R49" s="47">
        <f>IF(VolCO2=0,,-16.6999-0.0101059*IF(ServingUnits="Serving Temp (C)",ServingTemp*9/5+32,ServingTemp)+0.00116512*IF(ServingUnits="Serving Temp (C)",ServingTemp*9/5+32,ServingTemp)^2+0.173354*IF(ServingUnits="Serving Temp (C)",ServingTemp*9/5+32,ServingTemp)*VolCO2+4.24267*VolCO2-0.0684226*VolCO2^2)</f>
        <v>9.2175018700000013</v>
      </c>
      <c r="S49" s="592" t="str">
        <f>IF(Units="metric","Serving Temp (C)","Serving Temp (F)")</f>
        <v>Serving Temp (F)</v>
      </c>
      <c r="T49" s="592"/>
      <c r="U49" s="248">
        <f>Recipe!ServingTemp</f>
        <v>34</v>
      </c>
      <c r="V49" s="44"/>
      <c r="W49" s="44"/>
      <c r="X49" s="170"/>
    </row>
  </sheetData>
  <sheetProtection sheet="1" selectLockedCells="1"/>
  <mergeCells count="53">
    <mergeCell ref="B49:M49"/>
    <mergeCell ref="R4:V4"/>
    <mergeCell ref="C11:H11"/>
    <mergeCell ref="R10:S10"/>
    <mergeCell ref="R11:S11"/>
    <mergeCell ref="C13:H13"/>
    <mergeCell ref="C18:H18"/>
    <mergeCell ref="C19:H19"/>
    <mergeCell ref="C20:H20"/>
    <mergeCell ref="C25:H25"/>
    <mergeCell ref="C26:H26"/>
    <mergeCell ref="C14:H14"/>
    <mergeCell ref="C15:H15"/>
    <mergeCell ref="C16:H16"/>
    <mergeCell ref="C17:H17"/>
    <mergeCell ref="C21:H21"/>
    <mergeCell ref="B1:I2"/>
    <mergeCell ref="Q1:X2"/>
    <mergeCell ref="J4:M4"/>
    <mergeCell ref="R12:S12"/>
    <mergeCell ref="C12:H12"/>
    <mergeCell ref="R13:S13"/>
    <mergeCell ref="R15:S15"/>
    <mergeCell ref="R16:S16"/>
    <mergeCell ref="S47:T47"/>
    <mergeCell ref="V47:W47"/>
    <mergeCell ref="R14:S14"/>
    <mergeCell ref="W40:X40"/>
    <mergeCell ref="R17:S17"/>
    <mergeCell ref="R24:S24"/>
    <mergeCell ref="S49:T49"/>
    <mergeCell ref="R19:S19"/>
    <mergeCell ref="R20:S20"/>
    <mergeCell ref="R21:S21"/>
    <mergeCell ref="R22:S22"/>
    <mergeCell ref="R23:S23"/>
    <mergeCell ref="Q40:R40"/>
    <mergeCell ref="C24:H24"/>
    <mergeCell ref="B37:G37"/>
    <mergeCell ref="U48:X48"/>
    <mergeCell ref="R18:S18"/>
    <mergeCell ref="C22:H22"/>
    <mergeCell ref="C23:H23"/>
    <mergeCell ref="R25:S25"/>
    <mergeCell ref="R26:S26"/>
    <mergeCell ref="B41:M41"/>
    <mergeCell ref="B42:M42"/>
    <mergeCell ref="B43:M43"/>
    <mergeCell ref="B44:M44"/>
    <mergeCell ref="B45:M45"/>
    <mergeCell ref="B46:M46"/>
    <mergeCell ref="B47:M47"/>
    <mergeCell ref="B48:M48"/>
  </mergeCells>
  <dataValidations count="20">
    <dataValidation type="list" allowBlank="1" showErrorMessage="1" prompt=" " sqref="B37" xr:uid="{00000000-0002-0000-0400-000000000000}">
      <formula1>Yeast</formula1>
    </dataValidation>
    <dataValidation type="list" allowBlank="1" showErrorMessage="1" promptTitle="Choose a BJCP style" prompt=" " sqref="R4" xr:uid="{00000000-0002-0000-0400-000002000000}">
      <formula1>Styles</formula1>
    </dataValidation>
    <dataValidation type="list" allowBlank="1" showInputMessage="1" showErrorMessage="1" sqref="M5" xr:uid="{00000000-0002-0000-0400-000003000000}">
      <formula1>"US, Metric"</formula1>
    </dataValidation>
    <dataValidation type="list" allowBlank="1" showInputMessage="1" showErrorMessage="1" sqref="R27 M7" xr:uid="{00000000-0002-0000-0400-000006000000}">
      <formula1>"Tinseth,Rager"</formula1>
    </dataValidation>
    <dataValidation type="list" allowBlank="1" showInputMessage="1" showErrorMessage="1" sqref="U48" xr:uid="{00000000-0002-0000-0400-000007000000}">
      <formula1>"Cane or table sugar (sucrose),Corn sugar (glucose/dextrose),DME Munton &amp; Fison (75% AA),DME Northwestern (70% AA),DME Laaglander (55% AA)"</formula1>
    </dataValidation>
    <dataValidation type="list" allowBlank="1" showInputMessage="1" sqref="S47:T47" xr:uid="{00000000-0002-0000-0400-000008000000}">
      <formula1>"Beer Vol (gal),Beer Vol (L)"</formula1>
    </dataValidation>
    <dataValidation type="list" allowBlank="1" showInputMessage="1" sqref="V47:W47" xr:uid="{00000000-0002-0000-0400-000009000000}">
      <formula1>"Beer Temp (F),Beer Temp (C)"</formula1>
    </dataValidation>
    <dataValidation type="list" allowBlank="1" showInputMessage="1" sqref="S49:T49" xr:uid="{00000000-0002-0000-0400-00000A000000}">
      <formula1>"Serving Temp (F),Serving Temp (C)"</formula1>
    </dataValidation>
    <dataValidation type="list" allowBlank="1" showInputMessage="1" sqref="Q48" xr:uid="{00000000-0002-0000-0400-00000B000000}">
      <formula1>"oz sugar,g sugar"</formula1>
    </dataValidation>
    <dataValidation type="list" allowBlank="1" showInputMessage="1" showErrorMessage="1" sqref="V10" xr:uid="{00000000-0002-0000-0400-00000C000000}">
      <formula1>"oz,grams"</formula1>
    </dataValidation>
    <dataValidation type="list" allowBlank="1" showInputMessage="1" sqref="B38:C38" xr:uid="{00000000-0002-0000-0400-00000D000000}">
      <formula1>"Ale,Lager,Hybrid"</formula1>
    </dataValidation>
    <dataValidation type="list" promptTitle="Choose a malt/adjunct" prompt=" " sqref="B11:B26" xr:uid="{00000000-0002-0000-0400-00000E000000}">
      <formula1>"Pale,Vienna,Munich,NonBarley,Caramel,Toasted,Roasted,Dextrin,Acid,Flaked,Smoked"</formula1>
    </dataValidation>
    <dataValidation type="list" promptTitle="Choose a malt/adjunct" prompt=" " sqref="C11:C26" xr:uid="{00000000-0002-0000-0400-00000F000000}">
      <formula1>INDIRECT(B11)</formula1>
    </dataValidation>
    <dataValidation type="list" allowBlank="1" sqref="X41" xr:uid="{03BD0803-1FE4-4CD7-BD4E-7357F08B5F4F}">
      <formula1>"Chalk,Lime"</formula1>
    </dataValidation>
    <dataValidation type="list" allowBlank="1" showInputMessage="1" sqref="U11:U26" xr:uid="{00000000-0002-0000-0400-000001000000}">
      <formula1>"Whole, Pellet"</formula1>
    </dataValidation>
    <dataValidation type="list" allowBlank="1" showInputMessage="1" showErrorMessage="1" sqref="R11:R26" xr:uid="{00000000-0002-0000-0400-000004000000}">
      <formula1>Hops</formula1>
    </dataValidation>
    <dataValidation type="list" allowBlank="1" showInputMessage="1" sqref="Q11:Q26" xr:uid="{00000000-0002-0000-0400-000005000000}">
      <formula1>"Mash, FWH, Dry Hops"</formula1>
    </dataValidation>
    <dataValidation type="list" allowBlank="1" showInputMessage="1" showErrorMessage="1" sqref="M6" xr:uid="{FD246240-6FD5-49E3-8E99-BAC4846D878F}">
      <formula1>"Efficiency,Weyermann,Morey,Daniels,Mosher"</formula1>
    </dataValidation>
    <dataValidation type="list" allowBlank="1" showInputMessage="1" showErrorMessage="1" sqref="F5" xr:uid="{61D0D8ED-F24F-4CD5-8517-CF63E9D75614}">
      <formula1>"SRM:,EBC:"</formula1>
    </dataValidation>
    <dataValidation type="list" allowBlank="1" showInputMessage="1" showErrorMessage="1" sqref="Q40:R40" xr:uid="{69FC1310-56CB-4E3F-8A20-12BC3D0444FE}">
      <formula1>"lactic acid (ml),phosphoric acid (ml)"</formula1>
    </dataValidation>
  </dataValidations>
  <hyperlinks>
    <hyperlink ref="Q4" r:id="rId1" xr:uid="{00000000-0004-0000-0400-000000000000}"/>
  </hyperlinks>
  <printOptions horizontalCentered="1"/>
  <pageMargins left="0.17" right="0.17" top="0.6" bottom="1" header="0.5" footer="0.5"/>
  <pageSetup scale="77" orientation="landscape" r:id="rId2"/>
  <headerFooter alignWithMargins="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604"/>
  <sheetViews>
    <sheetView showGridLines="0" zoomScaleNormal="100" workbookViewId="0"/>
  </sheetViews>
  <sheetFormatPr defaultColWidth="9.42578125" defaultRowHeight="12.75" x14ac:dyDescent="0.2"/>
  <cols>
    <col min="1" max="1" width="2.42578125" style="473" customWidth="1"/>
    <col min="2" max="2" width="52.42578125" style="473" bestFit="1" customWidth="1"/>
    <col min="3" max="3" width="14.42578125" style="249" bestFit="1" customWidth="1"/>
    <col min="4" max="4" width="8.42578125" style="274" bestFit="1" customWidth="1"/>
    <col min="5" max="16384" width="9.42578125" style="473"/>
  </cols>
  <sheetData>
    <row r="1" spans="2:4" x14ac:dyDescent="0.2">
      <c r="B1" s="472" t="s">
        <v>104</v>
      </c>
      <c r="C1" s="249" t="s">
        <v>105</v>
      </c>
      <c r="D1" s="274" t="s">
        <v>106</v>
      </c>
    </row>
    <row r="2" spans="2:4" x14ac:dyDescent="0.2">
      <c r="B2" s="474" t="s">
        <v>1553</v>
      </c>
      <c r="C2" s="249">
        <v>38</v>
      </c>
      <c r="D2" s="274">
        <v>3</v>
      </c>
    </row>
    <row r="3" spans="2:4" x14ac:dyDescent="0.2">
      <c r="B3" s="474" t="s">
        <v>1554</v>
      </c>
      <c r="C3" s="249">
        <v>37</v>
      </c>
      <c r="D3" s="274">
        <v>2.6</v>
      </c>
    </row>
    <row r="4" spans="2:4" x14ac:dyDescent="0.2">
      <c r="B4" s="474" t="s">
        <v>1555</v>
      </c>
      <c r="C4" s="249">
        <v>37</v>
      </c>
      <c r="D4" s="274">
        <v>2.6</v>
      </c>
    </row>
    <row r="5" spans="2:4" x14ac:dyDescent="0.2">
      <c r="B5" s="474" t="s">
        <v>1556</v>
      </c>
      <c r="C5" s="249">
        <v>37</v>
      </c>
      <c r="D5" s="274">
        <v>2.6</v>
      </c>
    </row>
    <row r="6" spans="2:4" x14ac:dyDescent="0.2">
      <c r="B6" s="473" t="s">
        <v>1047</v>
      </c>
      <c r="C6" s="249">
        <v>38</v>
      </c>
      <c r="D6" s="274">
        <v>1.75</v>
      </c>
    </row>
    <row r="7" spans="2:4" x14ac:dyDescent="0.2">
      <c r="B7" s="473" t="s">
        <v>1048</v>
      </c>
      <c r="C7" s="249">
        <v>38</v>
      </c>
      <c r="D7" s="274">
        <v>2.5</v>
      </c>
    </row>
    <row r="8" spans="2:4" x14ac:dyDescent="0.2">
      <c r="B8" s="473" t="s">
        <v>1049</v>
      </c>
      <c r="C8" s="249">
        <v>38</v>
      </c>
      <c r="D8" s="274">
        <v>1.75</v>
      </c>
    </row>
    <row r="9" spans="2:4" x14ac:dyDescent="0.2">
      <c r="B9" s="473" t="s">
        <v>1050</v>
      </c>
      <c r="C9" s="249">
        <v>38</v>
      </c>
      <c r="D9" s="274">
        <v>2.5</v>
      </c>
    </row>
    <row r="10" spans="2:4" x14ac:dyDescent="0.2">
      <c r="B10" s="473" t="s">
        <v>1051</v>
      </c>
      <c r="C10" s="249">
        <v>38</v>
      </c>
      <c r="D10" s="274">
        <v>1.75</v>
      </c>
    </row>
    <row r="11" spans="2:4" x14ac:dyDescent="0.2">
      <c r="B11" s="473" t="s">
        <v>1052</v>
      </c>
      <c r="C11" s="249">
        <v>38</v>
      </c>
      <c r="D11" s="274">
        <v>2.5</v>
      </c>
    </row>
    <row r="12" spans="2:4" x14ac:dyDescent="0.2">
      <c r="B12" s="473" t="s">
        <v>1053</v>
      </c>
      <c r="C12" s="249">
        <v>37</v>
      </c>
      <c r="D12" s="274">
        <v>1.5</v>
      </c>
    </row>
    <row r="13" spans="2:4" x14ac:dyDescent="0.2">
      <c r="B13" s="473" t="s">
        <v>1054</v>
      </c>
      <c r="C13" s="249">
        <v>38</v>
      </c>
      <c r="D13" s="274">
        <v>1.75</v>
      </c>
    </row>
    <row r="14" spans="2:4" x14ac:dyDescent="0.2">
      <c r="B14" s="473" t="s">
        <v>1055</v>
      </c>
      <c r="C14" s="249">
        <v>37</v>
      </c>
      <c r="D14" s="274">
        <v>1.5</v>
      </c>
    </row>
    <row r="15" spans="2:4" x14ac:dyDescent="0.2">
      <c r="B15" s="473" t="s">
        <v>1056</v>
      </c>
      <c r="C15" s="249">
        <v>37</v>
      </c>
      <c r="D15" s="274">
        <v>5.9</v>
      </c>
    </row>
    <row r="16" spans="2:4" x14ac:dyDescent="0.2">
      <c r="B16" s="473" t="s">
        <v>1057</v>
      </c>
      <c r="C16" s="249">
        <v>37</v>
      </c>
      <c r="D16" s="274">
        <v>2</v>
      </c>
    </row>
    <row r="17" spans="2:4" x14ac:dyDescent="0.2">
      <c r="B17" s="473" t="s">
        <v>1058</v>
      </c>
      <c r="C17" s="475">
        <v>37</v>
      </c>
      <c r="D17" s="274">
        <v>5.3</v>
      </c>
    </row>
    <row r="18" spans="2:4" x14ac:dyDescent="0.2">
      <c r="B18" s="473" t="s">
        <v>1059</v>
      </c>
      <c r="C18" s="475">
        <v>36.000000000000028</v>
      </c>
      <c r="D18" s="274">
        <v>1.8</v>
      </c>
    </row>
    <row r="19" spans="2:4" x14ac:dyDescent="0.2">
      <c r="B19" s="473" t="s">
        <v>1060</v>
      </c>
      <c r="C19" s="475">
        <v>36.000000000000028</v>
      </c>
      <c r="D19" s="274">
        <v>1.7</v>
      </c>
    </row>
    <row r="20" spans="2:4" x14ac:dyDescent="0.2">
      <c r="B20" s="473" t="s">
        <v>1061</v>
      </c>
      <c r="C20" s="475">
        <v>36.000000000000028</v>
      </c>
      <c r="D20" s="274">
        <v>3.5</v>
      </c>
    </row>
    <row r="21" spans="2:4" x14ac:dyDescent="0.2">
      <c r="B21" s="473" t="s">
        <v>1062</v>
      </c>
      <c r="C21" s="475">
        <v>36.000000000000028</v>
      </c>
      <c r="D21" s="274">
        <v>1.2</v>
      </c>
    </row>
    <row r="22" spans="2:4" x14ac:dyDescent="0.2">
      <c r="B22" s="474" t="s">
        <v>1063</v>
      </c>
      <c r="C22" s="475">
        <v>40</v>
      </c>
      <c r="D22" s="274">
        <v>1.8</v>
      </c>
    </row>
    <row r="23" spans="2:4" x14ac:dyDescent="0.2">
      <c r="B23" s="474" t="s">
        <v>1064</v>
      </c>
      <c r="C23" s="475">
        <v>40</v>
      </c>
      <c r="D23" s="274">
        <v>1.8</v>
      </c>
    </row>
    <row r="24" spans="2:4" x14ac:dyDescent="0.2">
      <c r="B24" s="474" t="s">
        <v>1065</v>
      </c>
      <c r="C24" s="475">
        <v>37</v>
      </c>
      <c r="D24" s="274">
        <v>1.85</v>
      </c>
    </row>
    <row r="25" spans="2:4" x14ac:dyDescent="0.2">
      <c r="B25" s="474" t="s">
        <v>1066</v>
      </c>
      <c r="C25" s="475">
        <v>37</v>
      </c>
      <c r="D25" s="274">
        <v>2.2000000000000002</v>
      </c>
    </row>
    <row r="26" spans="2:4" x14ac:dyDescent="0.2">
      <c r="B26" s="474" t="s">
        <v>1067</v>
      </c>
      <c r="C26" s="475">
        <v>37</v>
      </c>
      <c r="D26" s="274">
        <v>1.5</v>
      </c>
    </row>
    <row r="27" spans="2:4" x14ac:dyDescent="0.2">
      <c r="B27" s="474" t="s">
        <v>1068</v>
      </c>
      <c r="C27" s="475">
        <v>37</v>
      </c>
      <c r="D27" s="274">
        <v>3.15</v>
      </c>
    </row>
    <row r="28" spans="2:4" x14ac:dyDescent="0.2">
      <c r="B28" s="474" t="s">
        <v>1069</v>
      </c>
      <c r="C28" s="475">
        <v>37</v>
      </c>
      <c r="D28" s="274">
        <v>2.7</v>
      </c>
    </row>
    <row r="29" spans="2:4" x14ac:dyDescent="0.2">
      <c r="B29" s="474" t="s">
        <v>1070</v>
      </c>
      <c r="C29" s="475">
        <v>37</v>
      </c>
      <c r="D29" s="274">
        <v>1.7999999999999998</v>
      </c>
    </row>
    <row r="30" spans="2:4" x14ac:dyDescent="0.2">
      <c r="B30" s="474" t="s">
        <v>1071</v>
      </c>
      <c r="C30" s="475">
        <v>37</v>
      </c>
      <c r="D30" s="274">
        <v>2.85</v>
      </c>
    </row>
    <row r="31" spans="2:4" x14ac:dyDescent="0.2">
      <c r="B31" s="474" t="s">
        <v>1072</v>
      </c>
      <c r="C31" s="475">
        <v>37</v>
      </c>
      <c r="D31" s="274">
        <v>2.85</v>
      </c>
    </row>
    <row r="32" spans="2:4" x14ac:dyDescent="0.2">
      <c r="B32" s="474" t="s">
        <v>1073</v>
      </c>
      <c r="C32" s="475">
        <v>37</v>
      </c>
      <c r="D32" s="274">
        <v>2.9</v>
      </c>
    </row>
    <row r="33" spans="2:4" x14ac:dyDescent="0.2">
      <c r="B33" s="474" t="s">
        <v>1074</v>
      </c>
      <c r="C33" s="475">
        <v>37</v>
      </c>
      <c r="D33" s="274">
        <v>2.85</v>
      </c>
    </row>
    <row r="34" spans="2:4" x14ac:dyDescent="0.2">
      <c r="B34" s="473" t="s">
        <v>1075</v>
      </c>
      <c r="C34" s="475">
        <v>37</v>
      </c>
      <c r="D34" s="274">
        <v>1.7</v>
      </c>
    </row>
    <row r="35" spans="2:4" x14ac:dyDescent="0.2">
      <c r="B35" s="473" t="s">
        <v>1076</v>
      </c>
      <c r="C35" s="475">
        <v>37</v>
      </c>
      <c r="D35" s="274">
        <v>1.8</v>
      </c>
    </row>
    <row r="36" spans="2:4" x14ac:dyDescent="0.2">
      <c r="B36" s="473" t="s">
        <v>1077</v>
      </c>
      <c r="C36" s="475">
        <v>37</v>
      </c>
      <c r="D36" s="274">
        <v>3.75</v>
      </c>
    </row>
    <row r="37" spans="2:4" x14ac:dyDescent="0.2">
      <c r="B37" s="473" t="s">
        <v>1078</v>
      </c>
      <c r="C37" s="475">
        <v>36.000000000000028</v>
      </c>
      <c r="D37" s="274">
        <v>1.9</v>
      </c>
    </row>
    <row r="38" spans="2:4" x14ac:dyDescent="0.2">
      <c r="B38" s="473" t="s">
        <v>1079</v>
      </c>
      <c r="C38" s="475">
        <v>36.000000000000028</v>
      </c>
      <c r="D38" s="274">
        <v>1.8</v>
      </c>
    </row>
    <row r="39" spans="2:4" x14ac:dyDescent="0.2">
      <c r="B39" s="473" t="s">
        <v>1080</v>
      </c>
      <c r="C39" s="475">
        <v>37</v>
      </c>
      <c r="D39" s="274">
        <v>1.8</v>
      </c>
    </row>
    <row r="40" spans="2:4" x14ac:dyDescent="0.2">
      <c r="B40" s="473" t="s">
        <v>1081</v>
      </c>
      <c r="C40" s="475">
        <v>37</v>
      </c>
      <c r="D40" s="274">
        <v>1.8</v>
      </c>
    </row>
    <row r="41" spans="2:4" x14ac:dyDescent="0.2">
      <c r="B41" s="473" t="s">
        <v>1082</v>
      </c>
      <c r="C41" s="475">
        <v>38</v>
      </c>
      <c r="D41" s="274">
        <v>3</v>
      </c>
    </row>
    <row r="42" spans="2:4" x14ac:dyDescent="0.2">
      <c r="B42" s="473" t="s">
        <v>1083</v>
      </c>
      <c r="C42" s="475">
        <v>38</v>
      </c>
      <c r="D42" s="274">
        <v>4.0500000000000007</v>
      </c>
    </row>
    <row r="43" spans="2:4" x14ac:dyDescent="0.2">
      <c r="B43" s="473" t="s">
        <v>1084</v>
      </c>
      <c r="C43" s="475">
        <v>38</v>
      </c>
      <c r="D43" s="274">
        <v>1.75</v>
      </c>
    </row>
    <row r="44" spans="2:4" x14ac:dyDescent="0.2">
      <c r="B44" s="473" t="s">
        <v>1085</v>
      </c>
      <c r="C44" s="475">
        <v>38</v>
      </c>
      <c r="D44" s="274">
        <v>2.5</v>
      </c>
    </row>
    <row r="45" spans="2:4" x14ac:dyDescent="0.2">
      <c r="B45" s="473" t="s">
        <v>1086</v>
      </c>
      <c r="C45" s="475">
        <v>38</v>
      </c>
      <c r="D45" s="274">
        <v>1.75</v>
      </c>
    </row>
    <row r="46" spans="2:4" x14ac:dyDescent="0.2">
      <c r="B46" s="474" t="s">
        <v>1087</v>
      </c>
      <c r="C46" s="475">
        <v>38</v>
      </c>
      <c r="D46" s="274">
        <v>1.75</v>
      </c>
    </row>
    <row r="47" spans="2:4" x14ac:dyDescent="0.2">
      <c r="B47" s="473" t="s">
        <v>1088</v>
      </c>
      <c r="C47" s="475">
        <v>38</v>
      </c>
      <c r="D47" s="274">
        <v>1.75</v>
      </c>
    </row>
    <row r="48" spans="2:4" x14ac:dyDescent="0.2">
      <c r="B48" s="473" t="s">
        <v>1089</v>
      </c>
      <c r="C48" s="475">
        <v>38</v>
      </c>
      <c r="D48" s="274">
        <v>3</v>
      </c>
    </row>
    <row r="49" spans="2:4" x14ac:dyDescent="0.2">
      <c r="B49" s="474" t="s">
        <v>1090</v>
      </c>
      <c r="C49" s="475">
        <v>38</v>
      </c>
      <c r="D49" s="274">
        <v>1.75</v>
      </c>
    </row>
    <row r="50" spans="2:4" x14ac:dyDescent="0.2">
      <c r="B50" s="473" t="s">
        <v>1091</v>
      </c>
      <c r="C50" s="475">
        <v>38</v>
      </c>
      <c r="D50" s="274">
        <v>3.25</v>
      </c>
    </row>
    <row r="51" spans="2:4" x14ac:dyDescent="0.2">
      <c r="B51" s="473" t="s">
        <v>1092</v>
      </c>
      <c r="C51" s="475">
        <v>38</v>
      </c>
      <c r="D51" s="274">
        <v>3.25</v>
      </c>
    </row>
    <row r="52" spans="2:4" x14ac:dyDescent="0.2">
      <c r="B52" s="473" t="s">
        <v>1093</v>
      </c>
      <c r="C52" s="475">
        <v>38</v>
      </c>
      <c r="D52" s="274">
        <v>1.75</v>
      </c>
    </row>
    <row r="53" spans="2:4" x14ac:dyDescent="0.2">
      <c r="B53" s="473" t="s">
        <v>1094</v>
      </c>
      <c r="C53" s="475">
        <v>38</v>
      </c>
      <c r="D53" s="274">
        <v>3</v>
      </c>
    </row>
    <row r="54" spans="2:4" x14ac:dyDescent="0.2">
      <c r="B54" s="473" t="s">
        <v>1095</v>
      </c>
      <c r="C54" s="475">
        <v>38</v>
      </c>
      <c r="D54" s="274">
        <v>2</v>
      </c>
    </row>
    <row r="55" spans="2:4" x14ac:dyDescent="0.2">
      <c r="B55" s="473" t="s">
        <v>1096</v>
      </c>
      <c r="C55" s="475">
        <v>37</v>
      </c>
      <c r="D55" s="274">
        <v>1.55</v>
      </c>
    </row>
    <row r="56" spans="2:4" x14ac:dyDescent="0.2">
      <c r="B56" s="473" t="s">
        <v>1097</v>
      </c>
      <c r="C56" s="475">
        <v>37</v>
      </c>
      <c r="D56" s="274">
        <v>3</v>
      </c>
    </row>
    <row r="57" spans="2:4" x14ac:dyDescent="0.2">
      <c r="B57" s="473" t="s">
        <v>1098</v>
      </c>
      <c r="C57" s="475">
        <v>37</v>
      </c>
      <c r="D57" s="274">
        <v>2</v>
      </c>
    </row>
    <row r="58" spans="2:4" x14ac:dyDescent="0.2">
      <c r="B58" s="473" t="s">
        <v>1099</v>
      </c>
      <c r="C58" s="475">
        <v>37</v>
      </c>
      <c r="D58" s="274">
        <v>1.6</v>
      </c>
    </row>
    <row r="59" spans="2:4" x14ac:dyDescent="0.2">
      <c r="B59" s="473" t="s">
        <v>1100</v>
      </c>
      <c r="C59" s="475">
        <v>37</v>
      </c>
      <c r="D59" s="274">
        <v>2</v>
      </c>
    </row>
    <row r="60" spans="2:4" x14ac:dyDescent="0.2">
      <c r="B60" s="473" t="s">
        <v>1101</v>
      </c>
      <c r="C60" s="475">
        <v>37</v>
      </c>
      <c r="D60" s="274">
        <v>1.5</v>
      </c>
    </row>
    <row r="61" spans="2:4" x14ac:dyDescent="0.2">
      <c r="B61" s="473" t="s">
        <v>1102</v>
      </c>
      <c r="C61" s="475">
        <v>37</v>
      </c>
      <c r="D61" s="274">
        <v>2</v>
      </c>
    </row>
    <row r="62" spans="2:4" x14ac:dyDescent="0.2">
      <c r="B62" s="473" t="s">
        <v>1103</v>
      </c>
      <c r="C62" s="475">
        <v>37</v>
      </c>
      <c r="D62" s="274">
        <v>2</v>
      </c>
    </row>
    <row r="63" spans="2:4" x14ac:dyDescent="0.2">
      <c r="B63" s="473" t="s">
        <v>1104</v>
      </c>
      <c r="C63" s="475">
        <v>37</v>
      </c>
      <c r="D63" s="274">
        <v>2.5</v>
      </c>
    </row>
    <row r="64" spans="2:4" x14ac:dyDescent="0.2">
      <c r="B64" s="473" t="s">
        <v>1105</v>
      </c>
      <c r="C64" s="475">
        <v>36.000000000000028</v>
      </c>
      <c r="D64" s="274">
        <v>1.8</v>
      </c>
    </row>
    <row r="65" spans="2:4" x14ac:dyDescent="0.2">
      <c r="B65" s="473" t="s">
        <v>1106</v>
      </c>
      <c r="C65" s="475">
        <v>36.000000000000028</v>
      </c>
      <c r="D65" s="274">
        <v>1.8</v>
      </c>
    </row>
    <row r="66" spans="2:4" x14ac:dyDescent="0.2">
      <c r="B66" s="473" t="s">
        <v>1107</v>
      </c>
      <c r="C66" s="475">
        <v>38</v>
      </c>
      <c r="D66" s="274">
        <v>2.75</v>
      </c>
    </row>
    <row r="67" spans="2:4" x14ac:dyDescent="0.2">
      <c r="B67" s="473" t="s">
        <v>1108</v>
      </c>
      <c r="C67" s="475">
        <v>38</v>
      </c>
      <c r="D67" s="274">
        <v>1.5</v>
      </c>
    </row>
    <row r="68" spans="2:4" x14ac:dyDescent="0.2">
      <c r="B68" s="473" t="s">
        <v>1109</v>
      </c>
      <c r="C68" s="475">
        <v>38</v>
      </c>
      <c r="D68" s="274">
        <v>1.75</v>
      </c>
    </row>
    <row r="69" spans="2:4" x14ac:dyDescent="0.2">
      <c r="B69" s="474" t="s">
        <v>1622</v>
      </c>
      <c r="C69" s="475">
        <v>37</v>
      </c>
      <c r="D69" s="274">
        <v>2.1</v>
      </c>
    </row>
    <row r="70" spans="2:4" x14ac:dyDescent="0.2">
      <c r="B70" s="474" t="s">
        <v>1623</v>
      </c>
      <c r="C70" s="475">
        <v>37</v>
      </c>
      <c r="D70" s="274">
        <v>2.6</v>
      </c>
    </row>
    <row r="71" spans="2:4" x14ac:dyDescent="0.2">
      <c r="B71" s="474" t="s">
        <v>1624</v>
      </c>
      <c r="C71" s="475">
        <v>37</v>
      </c>
      <c r="D71" s="274">
        <v>2.2000000000000002</v>
      </c>
    </row>
    <row r="72" spans="2:4" x14ac:dyDescent="0.2">
      <c r="B72" s="474" t="s">
        <v>1625</v>
      </c>
      <c r="C72" s="475">
        <v>37</v>
      </c>
      <c r="D72" s="274">
        <v>2.4</v>
      </c>
    </row>
    <row r="73" spans="2:4" x14ac:dyDescent="0.2">
      <c r="B73" s="473" t="s">
        <v>1110</v>
      </c>
      <c r="C73" s="475">
        <v>37</v>
      </c>
      <c r="D73" s="274">
        <v>3.8</v>
      </c>
    </row>
    <row r="74" spans="2:4" x14ac:dyDescent="0.2">
      <c r="B74" s="473" t="s">
        <v>1111</v>
      </c>
      <c r="C74" s="475">
        <v>36.000000000000028</v>
      </c>
      <c r="D74" s="274">
        <v>1.6</v>
      </c>
    </row>
    <row r="75" spans="2:4" x14ac:dyDescent="0.2">
      <c r="B75" s="473" t="s">
        <v>1112</v>
      </c>
      <c r="C75" s="475">
        <v>38</v>
      </c>
      <c r="D75" s="274">
        <v>2.0499999999999998</v>
      </c>
    </row>
    <row r="76" spans="2:4" x14ac:dyDescent="0.2">
      <c r="B76" s="473" t="s">
        <v>1113</v>
      </c>
      <c r="C76" s="475">
        <v>38</v>
      </c>
      <c r="D76" s="274">
        <v>2.0499999999999998</v>
      </c>
    </row>
    <row r="77" spans="2:4" x14ac:dyDescent="0.2">
      <c r="B77" s="473" t="s">
        <v>1114</v>
      </c>
      <c r="C77" s="475">
        <v>38.000000000000036</v>
      </c>
      <c r="D77" s="274">
        <v>1.85</v>
      </c>
    </row>
    <row r="78" spans="2:4" x14ac:dyDescent="0.2">
      <c r="B78" s="473" t="s">
        <v>1115</v>
      </c>
      <c r="C78" s="475">
        <v>38</v>
      </c>
      <c r="D78" s="274">
        <v>1.5</v>
      </c>
    </row>
    <row r="79" spans="2:4" x14ac:dyDescent="0.2">
      <c r="B79" s="473" t="s">
        <v>1116</v>
      </c>
      <c r="C79" s="475">
        <v>38</v>
      </c>
      <c r="D79" s="274">
        <v>2.0499999999999998</v>
      </c>
    </row>
    <row r="80" spans="2:4" x14ac:dyDescent="0.2">
      <c r="B80" s="473" t="s">
        <v>1117</v>
      </c>
      <c r="C80" s="475">
        <v>38</v>
      </c>
      <c r="D80" s="274">
        <v>1.4</v>
      </c>
    </row>
    <row r="81" spans="2:4" x14ac:dyDescent="0.2">
      <c r="B81" s="473" t="s">
        <v>1118</v>
      </c>
      <c r="C81" s="475">
        <v>38</v>
      </c>
      <c r="D81" s="274">
        <v>1.5</v>
      </c>
    </row>
    <row r="82" spans="2:4" x14ac:dyDescent="0.2">
      <c r="B82" s="473" t="s">
        <v>1119</v>
      </c>
      <c r="C82" s="475">
        <v>38</v>
      </c>
      <c r="D82" s="274">
        <v>2.0499999999999998</v>
      </c>
    </row>
    <row r="83" spans="2:4" x14ac:dyDescent="0.2">
      <c r="B83" s="473" t="s">
        <v>1120</v>
      </c>
      <c r="C83" s="475">
        <v>38</v>
      </c>
      <c r="D83" s="274">
        <v>3.5999999999999996</v>
      </c>
    </row>
    <row r="84" spans="2:4" x14ac:dyDescent="0.2">
      <c r="B84" s="473" t="s">
        <v>1121</v>
      </c>
      <c r="C84" s="475">
        <v>38</v>
      </c>
      <c r="D84" s="274">
        <v>3.5999999999999996</v>
      </c>
    </row>
    <row r="85" spans="2:4" x14ac:dyDescent="0.2">
      <c r="B85" s="473" t="s">
        <v>1122</v>
      </c>
      <c r="C85" s="475">
        <v>38.000000000000036</v>
      </c>
      <c r="D85" s="274">
        <v>1.9</v>
      </c>
    </row>
    <row r="86" spans="2:4" x14ac:dyDescent="0.2">
      <c r="B86" s="473" t="s">
        <v>1123</v>
      </c>
      <c r="C86" s="475">
        <v>37</v>
      </c>
      <c r="D86" s="274">
        <v>3.0999999999999996</v>
      </c>
    </row>
    <row r="87" spans="2:4" x14ac:dyDescent="0.2">
      <c r="B87" s="473" t="s">
        <v>1124</v>
      </c>
      <c r="C87" s="475">
        <v>38</v>
      </c>
      <c r="D87" s="274">
        <v>3.5999999999999996</v>
      </c>
    </row>
    <row r="88" spans="2:4" x14ac:dyDescent="0.2">
      <c r="B88" s="473" t="s">
        <v>1125</v>
      </c>
      <c r="C88" s="475">
        <v>38</v>
      </c>
      <c r="D88" s="274">
        <v>3.5999999999999996</v>
      </c>
    </row>
    <row r="89" spans="2:4" x14ac:dyDescent="0.2">
      <c r="B89" s="473" t="s">
        <v>1126</v>
      </c>
      <c r="C89" s="475">
        <v>38</v>
      </c>
      <c r="D89" s="274">
        <v>3.5999999999999996</v>
      </c>
    </row>
    <row r="90" spans="2:4" x14ac:dyDescent="0.2">
      <c r="B90" s="473" t="s">
        <v>1127</v>
      </c>
      <c r="C90" s="475">
        <v>38</v>
      </c>
      <c r="D90" s="274">
        <v>3.5999999999999996</v>
      </c>
    </row>
    <row r="91" spans="2:4" x14ac:dyDescent="0.2">
      <c r="B91" s="473" t="s">
        <v>1128</v>
      </c>
      <c r="C91" s="475">
        <v>36.000000000000028</v>
      </c>
      <c r="D91" s="274">
        <v>1.6</v>
      </c>
    </row>
    <row r="92" spans="2:4" x14ac:dyDescent="0.2">
      <c r="B92" s="473" t="s">
        <v>1129</v>
      </c>
      <c r="C92" s="475">
        <v>36.000000000000028</v>
      </c>
      <c r="D92" s="274">
        <v>2.8</v>
      </c>
    </row>
    <row r="93" spans="2:4" x14ac:dyDescent="0.2">
      <c r="B93" s="473" t="s">
        <v>1130</v>
      </c>
      <c r="C93" s="475">
        <v>37</v>
      </c>
      <c r="D93" s="274">
        <v>1.4</v>
      </c>
    </row>
    <row r="94" spans="2:4" x14ac:dyDescent="0.2">
      <c r="B94" s="473" t="s">
        <v>1131</v>
      </c>
      <c r="C94" s="475">
        <v>36.000000000000028</v>
      </c>
      <c r="D94" s="274">
        <v>2.75</v>
      </c>
    </row>
    <row r="95" spans="2:4" x14ac:dyDescent="0.2">
      <c r="B95" s="473" t="s">
        <v>1132</v>
      </c>
      <c r="C95" s="475">
        <v>37</v>
      </c>
      <c r="D95" s="274">
        <v>1.7</v>
      </c>
    </row>
    <row r="96" spans="2:4" x14ac:dyDescent="0.2">
      <c r="B96" s="473" t="s">
        <v>1133</v>
      </c>
      <c r="C96" s="475">
        <v>36.000000000000028</v>
      </c>
      <c r="D96" s="274">
        <v>3.5</v>
      </c>
    </row>
    <row r="97" spans="2:4" x14ac:dyDescent="0.2">
      <c r="B97" s="473" t="s">
        <v>1134</v>
      </c>
      <c r="C97" s="475">
        <v>37</v>
      </c>
      <c r="D97" s="274">
        <v>2.1</v>
      </c>
    </row>
    <row r="98" spans="2:4" x14ac:dyDescent="0.2">
      <c r="B98" s="474" t="s">
        <v>1619</v>
      </c>
      <c r="C98" s="475">
        <v>37</v>
      </c>
      <c r="D98" s="274">
        <v>1.6</v>
      </c>
    </row>
    <row r="99" spans="2:4" x14ac:dyDescent="0.2">
      <c r="B99" s="473" t="s">
        <v>1135</v>
      </c>
      <c r="C99" s="475">
        <v>36.000000000000028</v>
      </c>
      <c r="D99" s="274">
        <v>1.8</v>
      </c>
    </row>
    <row r="100" spans="2:4" x14ac:dyDescent="0.2">
      <c r="B100" s="473" t="s">
        <v>1136</v>
      </c>
      <c r="C100" s="475">
        <v>36</v>
      </c>
      <c r="D100" s="274">
        <v>2.2999999999999998</v>
      </c>
    </row>
    <row r="101" spans="2:4" x14ac:dyDescent="0.2">
      <c r="B101" s="473" t="s">
        <v>1137</v>
      </c>
      <c r="C101" s="475">
        <v>37</v>
      </c>
      <c r="D101" s="274">
        <v>4.3499999999999996</v>
      </c>
    </row>
    <row r="102" spans="2:4" x14ac:dyDescent="0.2">
      <c r="B102" s="473" t="s">
        <v>1138</v>
      </c>
      <c r="C102" s="475">
        <v>37</v>
      </c>
      <c r="D102" s="274">
        <v>1.77</v>
      </c>
    </row>
    <row r="103" spans="2:4" x14ac:dyDescent="0.2">
      <c r="B103" s="473" t="s">
        <v>1139</v>
      </c>
      <c r="C103" s="475">
        <v>38</v>
      </c>
      <c r="D103" s="274">
        <v>2.4500000000000002</v>
      </c>
    </row>
    <row r="104" spans="2:4" x14ac:dyDescent="0.2">
      <c r="B104" s="473" t="s">
        <v>1140</v>
      </c>
      <c r="C104" s="475">
        <v>38</v>
      </c>
      <c r="D104" s="274">
        <v>1.7000000000000002</v>
      </c>
    </row>
    <row r="105" spans="2:4" x14ac:dyDescent="0.2">
      <c r="B105" s="473" t="s">
        <v>1141</v>
      </c>
      <c r="C105" s="475">
        <v>38</v>
      </c>
      <c r="D105" s="274">
        <v>1.7000000000000002</v>
      </c>
    </row>
    <row r="106" spans="2:4" x14ac:dyDescent="0.2">
      <c r="B106" s="473" t="s">
        <v>1142</v>
      </c>
      <c r="C106" s="475">
        <v>38</v>
      </c>
      <c r="D106" s="274">
        <v>1.7000000000000002</v>
      </c>
    </row>
    <row r="107" spans="2:4" x14ac:dyDescent="0.2">
      <c r="B107" s="473" t="s">
        <v>1143</v>
      </c>
      <c r="C107" s="475">
        <v>38</v>
      </c>
      <c r="D107" s="274">
        <v>1.7000000000000002</v>
      </c>
    </row>
    <row r="108" spans="2:4" x14ac:dyDescent="0.2">
      <c r="B108" s="473" t="s">
        <v>1144</v>
      </c>
      <c r="C108" s="475">
        <v>38</v>
      </c>
      <c r="D108" s="274">
        <v>2.15</v>
      </c>
    </row>
    <row r="109" spans="2:4" x14ac:dyDescent="0.2">
      <c r="B109" s="473" t="s">
        <v>1145</v>
      </c>
      <c r="C109" s="475">
        <v>38</v>
      </c>
      <c r="D109" s="274">
        <v>2.4500000000000002</v>
      </c>
    </row>
    <row r="110" spans="2:4" x14ac:dyDescent="0.2">
      <c r="B110" s="473" t="s">
        <v>1146</v>
      </c>
      <c r="C110" s="475">
        <v>38</v>
      </c>
      <c r="D110" s="274">
        <v>1.7000000000000002</v>
      </c>
    </row>
    <row r="111" spans="2:4" x14ac:dyDescent="0.2">
      <c r="B111" s="473" t="s">
        <v>1147</v>
      </c>
      <c r="C111" s="475">
        <v>38</v>
      </c>
      <c r="D111" s="274">
        <v>1.7000000000000002</v>
      </c>
    </row>
    <row r="112" spans="2:4" x14ac:dyDescent="0.2">
      <c r="B112" s="473" t="s">
        <v>1564</v>
      </c>
      <c r="C112" s="475">
        <v>38</v>
      </c>
      <c r="D112" s="274">
        <v>1.95</v>
      </c>
    </row>
    <row r="113" spans="2:4" x14ac:dyDescent="0.2">
      <c r="B113" s="473" t="s">
        <v>1565</v>
      </c>
      <c r="C113" s="475">
        <v>38</v>
      </c>
      <c r="D113" s="274">
        <v>3.5</v>
      </c>
    </row>
    <row r="114" spans="2:4" x14ac:dyDescent="0.2">
      <c r="B114" s="473" t="s">
        <v>1566</v>
      </c>
      <c r="C114" s="475">
        <v>38</v>
      </c>
      <c r="D114" s="274">
        <v>1.9</v>
      </c>
    </row>
    <row r="115" spans="2:4" x14ac:dyDescent="0.2">
      <c r="B115" s="473" t="s">
        <v>1567</v>
      </c>
      <c r="C115" s="475">
        <v>38</v>
      </c>
      <c r="D115" s="274">
        <v>3.5</v>
      </c>
    </row>
    <row r="116" spans="2:4" x14ac:dyDescent="0.2">
      <c r="B116" s="473" t="s">
        <v>1148</v>
      </c>
      <c r="C116" s="475">
        <v>38</v>
      </c>
      <c r="D116" s="274">
        <v>2.65</v>
      </c>
    </row>
    <row r="117" spans="2:4" x14ac:dyDescent="0.2">
      <c r="B117" s="473" t="s">
        <v>1149</v>
      </c>
      <c r="C117" s="475">
        <v>38</v>
      </c>
      <c r="D117" s="274">
        <v>2.65</v>
      </c>
    </row>
    <row r="118" spans="2:4" x14ac:dyDescent="0.2">
      <c r="B118" s="473" t="s">
        <v>1150</v>
      </c>
      <c r="C118" s="475">
        <v>38</v>
      </c>
      <c r="D118" s="274">
        <v>1.8</v>
      </c>
    </row>
    <row r="119" spans="2:4" x14ac:dyDescent="0.2">
      <c r="B119" s="473" t="s">
        <v>1151</v>
      </c>
      <c r="C119" s="475">
        <v>38</v>
      </c>
      <c r="D119" s="274">
        <v>1.8</v>
      </c>
    </row>
    <row r="120" spans="2:4" x14ac:dyDescent="0.2">
      <c r="B120" s="473" t="s">
        <v>1152</v>
      </c>
      <c r="C120" s="475">
        <v>38</v>
      </c>
      <c r="D120" s="274">
        <v>2.65</v>
      </c>
    </row>
    <row r="121" spans="2:4" x14ac:dyDescent="0.2">
      <c r="B121" s="473" t="s">
        <v>1153</v>
      </c>
      <c r="C121" s="475">
        <v>37</v>
      </c>
      <c r="D121" s="274">
        <v>3.75</v>
      </c>
    </row>
    <row r="122" spans="2:4" x14ac:dyDescent="0.2">
      <c r="B122" s="474" t="s">
        <v>1154</v>
      </c>
      <c r="C122" s="455">
        <v>38</v>
      </c>
      <c r="D122" s="456">
        <v>2.65</v>
      </c>
    </row>
    <row r="123" spans="2:4" x14ac:dyDescent="0.2">
      <c r="B123" s="473" t="s">
        <v>1155</v>
      </c>
      <c r="C123" s="475">
        <v>38</v>
      </c>
      <c r="D123" s="274">
        <v>2.65</v>
      </c>
    </row>
    <row r="124" spans="2:4" x14ac:dyDescent="0.2">
      <c r="B124" s="473" t="s">
        <v>1156</v>
      </c>
      <c r="C124" s="475">
        <v>38</v>
      </c>
      <c r="D124" s="274">
        <v>2.65</v>
      </c>
    </row>
    <row r="125" spans="2:4" x14ac:dyDescent="0.2">
      <c r="B125" s="473" t="s">
        <v>1157</v>
      </c>
      <c r="C125" s="475">
        <v>38</v>
      </c>
      <c r="D125" s="274">
        <v>1.93</v>
      </c>
    </row>
    <row r="126" spans="2:4" x14ac:dyDescent="0.2">
      <c r="B126" s="473" t="s">
        <v>1158</v>
      </c>
      <c r="C126" s="475">
        <v>38</v>
      </c>
      <c r="D126" s="274">
        <v>2.62</v>
      </c>
    </row>
    <row r="127" spans="2:4" x14ac:dyDescent="0.2">
      <c r="B127" s="473" t="s">
        <v>1159</v>
      </c>
      <c r="C127" s="475">
        <v>38</v>
      </c>
      <c r="D127" s="274">
        <v>1.91</v>
      </c>
    </row>
    <row r="128" spans="2:4" x14ac:dyDescent="0.2">
      <c r="B128" s="473" t="s">
        <v>1160</v>
      </c>
      <c r="C128" s="475">
        <v>37</v>
      </c>
      <c r="D128" s="274">
        <v>1.85</v>
      </c>
    </row>
    <row r="129" spans="2:4" x14ac:dyDescent="0.2">
      <c r="B129" s="473" t="s">
        <v>1161</v>
      </c>
      <c r="C129" s="475">
        <v>37</v>
      </c>
      <c r="D129" s="274">
        <v>2.0499999999999998</v>
      </c>
    </row>
    <row r="130" spans="2:4" x14ac:dyDescent="0.2">
      <c r="B130" s="473" t="s">
        <v>1162</v>
      </c>
      <c r="C130" s="475">
        <v>37</v>
      </c>
      <c r="D130" s="274">
        <v>1.8</v>
      </c>
    </row>
    <row r="131" spans="2:4" x14ac:dyDescent="0.2">
      <c r="B131" s="473" t="s">
        <v>1163</v>
      </c>
      <c r="C131" s="475">
        <v>37</v>
      </c>
      <c r="D131" s="274">
        <v>1.2999999999999998</v>
      </c>
    </row>
    <row r="132" spans="2:4" x14ac:dyDescent="0.2">
      <c r="B132" s="457" t="s">
        <v>1550</v>
      </c>
      <c r="C132" s="475">
        <v>37</v>
      </c>
      <c r="D132" s="274">
        <v>6.6</v>
      </c>
    </row>
    <row r="133" spans="2:4" x14ac:dyDescent="0.2">
      <c r="B133" s="457" t="s">
        <v>1551</v>
      </c>
      <c r="C133" s="475">
        <v>37</v>
      </c>
      <c r="D133" s="274">
        <v>1.95</v>
      </c>
    </row>
    <row r="134" spans="2:4" x14ac:dyDescent="0.2">
      <c r="B134" s="473" t="s">
        <v>1164</v>
      </c>
      <c r="C134" s="475">
        <v>37</v>
      </c>
      <c r="D134" s="274">
        <v>3</v>
      </c>
    </row>
    <row r="135" spans="2:4" x14ac:dyDescent="0.2">
      <c r="B135" s="473" t="s">
        <v>1165</v>
      </c>
      <c r="C135" s="475">
        <v>37</v>
      </c>
      <c r="D135" s="274">
        <v>1.85</v>
      </c>
    </row>
    <row r="137" spans="2:4" x14ac:dyDescent="0.2">
      <c r="B137" s="472" t="s">
        <v>107</v>
      </c>
      <c r="C137" s="249" t="s">
        <v>105</v>
      </c>
      <c r="D137" s="274" t="s">
        <v>106</v>
      </c>
    </row>
    <row r="138" spans="2:4" x14ac:dyDescent="0.2">
      <c r="B138" s="474" t="s">
        <v>1557</v>
      </c>
      <c r="C138" s="249">
        <v>36</v>
      </c>
      <c r="D138" s="274">
        <v>4.3</v>
      </c>
    </row>
    <row r="139" spans="2:4" x14ac:dyDescent="0.2">
      <c r="B139" s="473" t="s">
        <v>1166</v>
      </c>
      <c r="C139" s="288">
        <v>36</v>
      </c>
      <c r="D139" s="289">
        <v>3.5</v>
      </c>
    </row>
    <row r="140" spans="2:4" x14ac:dyDescent="0.2">
      <c r="B140" s="473" t="s">
        <v>1167</v>
      </c>
      <c r="C140" s="288">
        <v>36</v>
      </c>
      <c r="D140" s="289">
        <v>3.8</v>
      </c>
    </row>
    <row r="141" spans="2:4" x14ac:dyDescent="0.2">
      <c r="B141" s="473" t="s">
        <v>1168</v>
      </c>
      <c r="C141" s="475">
        <v>36.000000000000028</v>
      </c>
      <c r="D141" s="274">
        <v>3.5</v>
      </c>
    </row>
    <row r="142" spans="2:4" x14ac:dyDescent="0.2">
      <c r="B142" s="473" t="s">
        <v>1169</v>
      </c>
      <c r="C142" s="475">
        <v>36.000000000000028</v>
      </c>
      <c r="D142" s="274">
        <v>2.6500000000000004</v>
      </c>
    </row>
    <row r="143" spans="2:4" x14ac:dyDescent="0.2">
      <c r="B143" s="474" t="s">
        <v>1170</v>
      </c>
      <c r="C143" s="475">
        <v>36</v>
      </c>
      <c r="D143" s="274">
        <v>3.35</v>
      </c>
    </row>
    <row r="144" spans="2:4" x14ac:dyDescent="0.2">
      <c r="B144" s="473" t="s">
        <v>1171</v>
      </c>
      <c r="C144" s="475">
        <v>36.000000000000028</v>
      </c>
      <c r="D144" s="274">
        <v>5.5</v>
      </c>
    </row>
    <row r="145" spans="2:4" x14ac:dyDescent="0.2">
      <c r="B145" s="473" t="s">
        <v>1172</v>
      </c>
      <c r="C145" s="475">
        <v>36.000000000000028</v>
      </c>
      <c r="D145" s="274">
        <v>4</v>
      </c>
    </row>
    <row r="146" spans="2:4" x14ac:dyDescent="0.2">
      <c r="B146" s="473" t="s">
        <v>1173</v>
      </c>
      <c r="C146" s="475">
        <v>36.000000000000028</v>
      </c>
      <c r="D146" s="274">
        <v>3.6</v>
      </c>
    </row>
    <row r="147" spans="2:4" x14ac:dyDescent="0.2">
      <c r="B147" s="474" t="s">
        <v>1627</v>
      </c>
      <c r="C147" s="475">
        <v>36</v>
      </c>
      <c r="D147" s="274">
        <v>3.7</v>
      </c>
    </row>
    <row r="148" spans="2:4" x14ac:dyDescent="0.2">
      <c r="B148" s="473" t="s">
        <v>1174</v>
      </c>
      <c r="C148" s="475">
        <v>36.000000000000028</v>
      </c>
      <c r="D148" s="274">
        <v>2.8</v>
      </c>
    </row>
    <row r="149" spans="2:4" x14ac:dyDescent="0.2">
      <c r="B149" s="473" t="s">
        <v>1175</v>
      </c>
      <c r="C149" s="475">
        <v>36.000000000000028</v>
      </c>
      <c r="D149" s="274">
        <v>3.4499999999999997</v>
      </c>
    </row>
    <row r="150" spans="2:4" x14ac:dyDescent="0.2">
      <c r="B150" s="473" t="s">
        <v>1176</v>
      </c>
      <c r="C150" s="475">
        <v>36.000000000000028</v>
      </c>
      <c r="D150" s="274">
        <v>3.3499999999999996</v>
      </c>
    </row>
    <row r="151" spans="2:4" x14ac:dyDescent="0.2">
      <c r="B151" s="473" t="s">
        <v>1568</v>
      </c>
      <c r="C151" s="475">
        <v>36</v>
      </c>
      <c r="D151" s="274">
        <v>4.5</v>
      </c>
    </row>
    <row r="152" spans="2:4" x14ac:dyDescent="0.2">
      <c r="B152" s="473" t="s">
        <v>1177</v>
      </c>
      <c r="C152" s="475">
        <v>36.000000000000028</v>
      </c>
      <c r="D152" s="274">
        <v>5.5</v>
      </c>
    </row>
    <row r="153" spans="2:4" x14ac:dyDescent="0.2">
      <c r="B153" s="473" t="s">
        <v>1178</v>
      </c>
      <c r="C153" s="475">
        <v>36</v>
      </c>
      <c r="D153" s="274">
        <v>3.75</v>
      </c>
    </row>
    <row r="154" spans="2:4" x14ac:dyDescent="0.2">
      <c r="B154" s="473" t="s">
        <v>1179</v>
      </c>
      <c r="C154" s="475">
        <v>36.000000000000028</v>
      </c>
      <c r="D154" s="274">
        <v>3.3499999999999996</v>
      </c>
    </row>
    <row r="155" spans="2:4" x14ac:dyDescent="0.2">
      <c r="B155" s="473" t="s">
        <v>1180</v>
      </c>
      <c r="C155" s="475">
        <v>36.000000000000028</v>
      </c>
      <c r="D155" s="274">
        <v>3.3499999999999996</v>
      </c>
    </row>
    <row r="157" spans="2:4" x14ac:dyDescent="0.2">
      <c r="B157" s="472" t="s">
        <v>108</v>
      </c>
      <c r="C157" s="249" t="s">
        <v>105</v>
      </c>
      <c r="D157" s="274" t="s">
        <v>106</v>
      </c>
    </row>
    <row r="158" spans="2:4" x14ac:dyDescent="0.2">
      <c r="B158" s="474" t="s">
        <v>1558</v>
      </c>
      <c r="C158" s="249">
        <v>35</v>
      </c>
      <c r="D158" s="274">
        <v>7.1</v>
      </c>
    </row>
    <row r="159" spans="2:4" x14ac:dyDescent="0.2">
      <c r="B159" s="474" t="s">
        <v>1559</v>
      </c>
      <c r="C159" s="249">
        <v>35</v>
      </c>
      <c r="D159" s="274">
        <v>11.8</v>
      </c>
    </row>
    <row r="160" spans="2:4" x14ac:dyDescent="0.2">
      <c r="B160" s="473" t="s">
        <v>1181</v>
      </c>
      <c r="C160" s="288">
        <v>35</v>
      </c>
      <c r="D160" s="289">
        <v>5</v>
      </c>
    </row>
    <row r="161" spans="2:4" x14ac:dyDescent="0.2">
      <c r="B161" s="473" t="s">
        <v>1182</v>
      </c>
      <c r="C161" s="288">
        <v>35</v>
      </c>
      <c r="D161" s="289">
        <v>11</v>
      </c>
    </row>
    <row r="162" spans="2:4" x14ac:dyDescent="0.2">
      <c r="B162" s="473" t="s">
        <v>1183</v>
      </c>
      <c r="C162" s="288">
        <v>35</v>
      </c>
      <c r="D162" s="289">
        <v>6.3</v>
      </c>
    </row>
    <row r="163" spans="2:4" x14ac:dyDescent="0.2">
      <c r="B163" s="474" t="s">
        <v>1184</v>
      </c>
      <c r="C163" s="288">
        <v>35</v>
      </c>
      <c r="D163" s="274">
        <v>20</v>
      </c>
    </row>
    <row r="164" spans="2:4" x14ac:dyDescent="0.2">
      <c r="B164" s="474" t="s">
        <v>1185</v>
      </c>
      <c r="C164" s="288">
        <v>35</v>
      </c>
      <c r="D164" s="274">
        <v>10</v>
      </c>
    </row>
    <row r="165" spans="2:4" x14ac:dyDescent="0.2">
      <c r="B165" s="474" t="s">
        <v>1186</v>
      </c>
      <c r="C165" s="288">
        <v>35</v>
      </c>
      <c r="D165" s="274">
        <v>30</v>
      </c>
    </row>
    <row r="166" spans="2:4" x14ac:dyDescent="0.2">
      <c r="B166" s="474" t="s">
        <v>1187</v>
      </c>
      <c r="C166" s="288">
        <v>35</v>
      </c>
      <c r="D166" s="274">
        <v>10.5</v>
      </c>
    </row>
    <row r="167" spans="2:4" x14ac:dyDescent="0.2">
      <c r="B167" s="473" t="s">
        <v>1188</v>
      </c>
      <c r="C167" s="288">
        <v>35</v>
      </c>
      <c r="D167" s="274">
        <v>6.15</v>
      </c>
    </row>
    <row r="168" spans="2:4" x14ac:dyDescent="0.2">
      <c r="B168" s="473" t="s">
        <v>1189</v>
      </c>
      <c r="C168" s="288">
        <v>35</v>
      </c>
      <c r="D168" s="274">
        <v>9.75</v>
      </c>
    </row>
    <row r="169" spans="2:4" x14ac:dyDescent="0.2">
      <c r="B169" s="473" t="s">
        <v>1190</v>
      </c>
      <c r="C169" s="288">
        <v>35</v>
      </c>
      <c r="D169" s="274">
        <v>6.55</v>
      </c>
    </row>
    <row r="170" spans="2:4" x14ac:dyDescent="0.2">
      <c r="B170" s="473" t="s">
        <v>1191</v>
      </c>
      <c r="C170" s="288">
        <v>35</v>
      </c>
      <c r="D170" s="274">
        <v>9.85</v>
      </c>
    </row>
    <row r="171" spans="2:4" x14ac:dyDescent="0.2">
      <c r="B171" s="473" t="s">
        <v>1192</v>
      </c>
      <c r="C171" s="288">
        <v>35</v>
      </c>
      <c r="D171" s="274">
        <v>19.5</v>
      </c>
    </row>
    <row r="172" spans="2:4" x14ac:dyDescent="0.2">
      <c r="B172" s="473" t="s">
        <v>1170</v>
      </c>
      <c r="C172" s="288">
        <v>35</v>
      </c>
      <c r="D172" s="274">
        <v>9</v>
      </c>
    </row>
    <row r="173" spans="2:4" x14ac:dyDescent="0.2">
      <c r="B173" s="474" t="s">
        <v>1193</v>
      </c>
      <c r="C173" s="288">
        <v>35</v>
      </c>
      <c r="D173" s="274">
        <v>30</v>
      </c>
    </row>
    <row r="174" spans="2:4" x14ac:dyDescent="0.2">
      <c r="B174" s="474" t="s">
        <v>1194</v>
      </c>
      <c r="C174" s="288">
        <v>35</v>
      </c>
      <c r="D174" s="274">
        <v>10</v>
      </c>
    </row>
    <row r="175" spans="2:4" x14ac:dyDescent="0.2">
      <c r="B175" s="474" t="s">
        <v>1195</v>
      </c>
      <c r="C175" s="288">
        <v>35</v>
      </c>
      <c r="D175" s="274">
        <v>10</v>
      </c>
    </row>
    <row r="176" spans="2:4" x14ac:dyDescent="0.2">
      <c r="B176" s="474" t="s">
        <v>1196</v>
      </c>
      <c r="C176" s="288">
        <v>35</v>
      </c>
      <c r="D176" s="274">
        <v>6</v>
      </c>
    </row>
    <row r="177" spans="2:7" x14ac:dyDescent="0.2">
      <c r="B177" s="474" t="s">
        <v>1197</v>
      </c>
      <c r="C177" s="288">
        <v>35</v>
      </c>
      <c r="D177" s="274">
        <v>20</v>
      </c>
    </row>
    <row r="178" spans="2:7" x14ac:dyDescent="0.2">
      <c r="B178" s="473" t="s">
        <v>1198</v>
      </c>
      <c r="C178" s="288">
        <v>35</v>
      </c>
      <c r="D178" s="274">
        <v>6</v>
      </c>
    </row>
    <row r="179" spans="2:7" x14ac:dyDescent="0.2">
      <c r="B179" s="473" t="s">
        <v>1199</v>
      </c>
      <c r="C179" s="288">
        <v>35</v>
      </c>
      <c r="D179" s="274">
        <v>10</v>
      </c>
    </row>
    <row r="180" spans="2:7" x14ac:dyDescent="0.2">
      <c r="B180" s="474" t="s">
        <v>1626</v>
      </c>
      <c r="C180" s="288">
        <v>35</v>
      </c>
      <c r="D180" s="274">
        <v>5.4</v>
      </c>
    </row>
    <row r="181" spans="2:7" x14ac:dyDescent="0.2">
      <c r="B181" s="473" t="s">
        <v>1200</v>
      </c>
      <c r="C181" s="288">
        <v>35</v>
      </c>
      <c r="D181" s="274">
        <v>6</v>
      </c>
    </row>
    <row r="182" spans="2:7" x14ac:dyDescent="0.2">
      <c r="B182" s="473" t="s">
        <v>1201</v>
      </c>
      <c r="C182" s="288">
        <v>35</v>
      </c>
      <c r="D182" s="274">
        <v>8.1</v>
      </c>
    </row>
    <row r="183" spans="2:7" x14ac:dyDescent="0.2">
      <c r="B183" s="473" t="s">
        <v>1202</v>
      </c>
      <c r="C183" s="288">
        <v>35</v>
      </c>
      <c r="D183" s="274">
        <v>14</v>
      </c>
    </row>
    <row r="184" spans="2:7" x14ac:dyDescent="0.2">
      <c r="B184" s="473" t="s">
        <v>1203</v>
      </c>
      <c r="C184" s="288">
        <v>35</v>
      </c>
      <c r="D184" s="274">
        <v>9.5</v>
      </c>
    </row>
    <row r="185" spans="2:7" x14ac:dyDescent="0.2">
      <c r="B185" s="473" t="s">
        <v>1204</v>
      </c>
      <c r="C185" s="288">
        <v>35</v>
      </c>
      <c r="D185" s="274">
        <v>7.5</v>
      </c>
    </row>
    <row r="186" spans="2:7" x14ac:dyDescent="0.2">
      <c r="B186" s="473" t="s">
        <v>1205</v>
      </c>
      <c r="C186" s="288">
        <v>35</v>
      </c>
      <c r="D186" s="274">
        <v>8.0500000000000007</v>
      </c>
    </row>
    <row r="187" spans="2:7" x14ac:dyDescent="0.2">
      <c r="B187" s="473" t="s">
        <v>1569</v>
      </c>
      <c r="C187" s="288">
        <v>35</v>
      </c>
      <c r="D187" s="274">
        <v>5.5</v>
      </c>
      <c r="F187" s="475"/>
      <c r="G187" s="274"/>
    </row>
    <row r="188" spans="2:7" x14ac:dyDescent="0.2">
      <c r="B188" s="473" t="s">
        <v>1570</v>
      </c>
      <c r="C188" s="288">
        <v>35</v>
      </c>
      <c r="D188" s="274">
        <v>8</v>
      </c>
    </row>
    <row r="189" spans="2:7" x14ac:dyDescent="0.2">
      <c r="B189" s="473" t="s">
        <v>1571</v>
      </c>
      <c r="C189" s="288">
        <v>35</v>
      </c>
      <c r="D189" s="274">
        <v>26.5</v>
      </c>
    </row>
    <row r="190" spans="2:7" x14ac:dyDescent="0.2">
      <c r="B190" s="473" t="s">
        <v>1206</v>
      </c>
      <c r="C190" s="288">
        <v>35</v>
      </c>
      <c r="D190" s="274">
        <v>10.5</v>
      </c>
    </row>
    <row r="191" spans="2:7" x14ac:dyDescent="0.2">
      <c r="B191" s="473" t="s">
        <v>1207</v>
      </c>
      <c r="C191" s="288">
        <v>35</v>
      </c>
      <c r="D191" s="274">
        <v>6.56</v>
      </c>
    </row>
    <row r="192" spans="2:7" x14ac:dyDescent="0.2">
      <c r="B192" s="473" t="s">
        <v>1208</v>
      </c>
      <c r="C192" s="288">
        <v>35</v>
      </c>
      <c r="D192" s="274">
        <v>8.81</v>
      </c>
    </row>
    <row r="193" spans="2:4" x14ac:dyDescent="0.2">
      <c r="B193" s="473" t="s">
        <v>1209</v>
      </c>
      <c r="C193" s="288">
        <v>35</v>
      </c>
      <c r="D193" s="274">
        <v>6.05</v>
      </c>
    </row>
    <row r="194" spans="2:4" x14ac:dyDescent="0.2">
      <c r="B194" s="473" t="s">
        <v>1210</v>
      </c>
      <c r="C194" s="288">
        <v>35</v>
      </c>
      <c r="D194" s="274">
        <v>8.9499999999999993</v>
      </c>
    </row>
    <row r="196" spans="2:4" x14ac:dyDescent="0.2">
      <c r="B196" s="472" t="s">
        <v>109</v>
      </c>
      <c r="C196" s="249" t="s">
        <v>105</v>
      </c>
      <c r="D196" s="274" t="s">
        <v>106</v>
      </c>
    </row>
    <row r="197" spans="2:4" x14ac:dyDescent="0.2">
      <c r="B197" s="476" t="s">
        <v>110</v>
      </c>
    </row>
    <row r="198" spans="2:4" x14ac:dyDescent="0.2">
      <c r="B198" s="474" t="s">
        <v>1560</v>
      </c>
      <c r="C198" s="249">
        <v>39</v>
      </c>
      <c r="D198" s="274">
        <v>2.2999999999999998</v>
      </c>
    </row>
    <row r="199" spans="2:4" x14ac:dyDescent="0.2">
      <c r="B199" s="473" t="s">
        <v>1211</v>
      </c>
      <c r="C199" s="249">
        <v>39</v>
      </c>
      <c r="D199" s="274">
        <v>1.6</v>
      </c>
    </row>
    <row r="200" spans="2:4" x14ac:dyDescent="0.2">
      <c r="B200" s="473" t="s">
        <v>1212</v>
      </c>
      <c r="C200" s="249">
        <v>39</v>
      </c>
      <c r="D200" s="274">
        <v>2.2999999999999998</v>
      </c>
    </row>
    <row r="201" spans="2:4" x14ac:dyDescent="0.2">
      <c r="B201" s="473" t="s">
        <v>1213</v>
      </c>
      <c r="C201" s="249">
        <v>39</v>
      </c>
      <c r="D201" s="274">
        <v>7.2</v>
      </c>
    </row>
    <row r="202" spans="2:4" x14ac:dyDescent="0.2">
      <c r="B202" s="473" t="s">
        <v>1214</v>
      </c>
      <c r="C202" s="475">
        <v>37</v>
      </c>
      <c r="D202" s="274">
        <v>2.2999999999999998</v>
      </c>
    </row>
    <row r="203" spans="2:4" x14ac:dyDescent="0.2">
      <c r="B203" s="473" t="s">
        <v>1214</v>
      </c>
      <c r="C203" s="475">
        <v>40.000000000000036</v>
      </c>
      <c r="D203" s="274">
        <v>2.5</v>
      </c>
    </row>
    <row r="204" spans="2:4" x14ac:dyDescent="0.2">
      <c r="B204" s="473" t="s">
        <v>1215</v>
      </c>
      <c r="C204" s="475">
        <v>40.000000000000036</v>
      </c>
      <c r="D204" s="274">
        <v>3</v>
      </c>
    </row>
    <row r="205" spans="2:4" x14ac:dyDescent="0.2">
      <c r="B205" s="473" t="s">
        <v>1216</v>
      </c>
      <c r="C205" s="475">
        <v>40.000000000000036</v>
      </c>
      <c r="D205" s="274">
        <v>3.5</v>
      </c>
    </row>
    <row r="206" spans="2:4" x14ac:dyDescent="0.2">
      <c r="B206" s="473" t="s">
        <v>1217</v>
      </c>
      <c r="C206" s="475">
        <v>40.000000000000036</v>
      </c>
      <c r="D206" s="274">
        <v>2.6</v>
      </c>
    </row>
    <row r="207" spans="2:4" x14ac:dyDescent="0.2">
      <c r="B207" s="473" t="s">
        <v>1218</v>
      </c>
      <c r="C207" s="475">
        <v>39</v>
      </c>
      <c r="D207" s="274">
        <v>2</v>
      </c>
    </row>
    <row r="208" spans="2:4" x14ac:dyDescent="0.2">
      <c r="B208" s="473" t="s">
        <v>1219</v>
      </c>
      <c r="C208" s="475">
        <v>39</v>
      </c>
      <c r="D208" s="274">
        <v>2.2999999999999998</v>
      </c>
    </row>
    <row r="209" spans="2:4" x14ac:dyDescent="0.2">
      <c r="B209" s="473" t="s">
        <v>1220</v>
      </c>
      <c r="C209" s="475">
        <v>39</v>
      </c>
      <c r="D209" s="274">
        <v>3.6</v>
      </c>
    </row>
    <row r="210" spans="2:4" x14ac:dyDescent="0.2">
      <c r="B210" s="473" t="s">
        <v>1221</v>
      </c>
      <c r="C210" s="475">
        <v>39</v>
      </c>
      <c r="D210" s="274">
        <v>2</v>
      </c>
    </row>
    <row r="211" spans="2:4" x14ac:dyDescent="0.2">
      <c r="B211" s="473" t="s">
        <v>1222</v>
      </c>
      <c r="C211" s="475">
        <v>39</v>
      </c>
      <c r="D211" s="274">
        <v>1.8</v>
      </c>
    </row>
    <row r="212" spans="2:4" x14ac:dyDescent="0.2">
      <c r="B212" s="474" t="s">
        <v>1629</v>
      </c>
      <c r="C212" s="475">
        <v>39</v>
      </c>
      <c r="D212" s="274">
        <v>3</v>
      </c>
    </row>
    <row r="213" spans="2:4" x14ac:dyDescent="0.2">
      <c r="B213" s="473" t="s">
        <v>1223</v>
      </c>
      <c r="C213" s="475">
        <v>37</v>
      </c>
      <c r="D213" s="274">
        <v>1.8</v>
      </c>
    </row>
    <row r="214" spans="2:4" x14ac:dyDescent="0.2">
      <c r="B214" s="473" t="s">
        <v>1224</v>
      </c>
      <c r="C214" s="475">
        <v>39</v>
      </c>
      <c r="D214" s="274">
        <v>2.9</v>
      </c>
    </row>
    <row r="215" spans="2:4" x14ac:dyDescent="0.2">
      <c r="B215" s="473" t="s">
        <v>1225</v>
      </c>
      <c r="C215" s="475">
        <v>39</v>
      </c>
      <c r="D215" s="274">
        <v>2.1</v>
      </c>
    </row>
    <row r="216" spans="2:4" x14ac:dyDescent="0.2">
      <c r="B216" s="473" t="s">
        <v>1226</v>
      </c>
      <c r="C216" s="475">
        <v>37</v>
      </c>
      <c r="D216" s="274">
        <v>3.7</v>
      </c>
    </row>
    <row r="217" spans="2:4" x14ac:dyDescent="0.2">
      <c r="B217" s="473" t="s">
        <v>1227</v>
      </c>
      <c r="C217" s="475">
        <v>40.000000000000036</v>
      </c>
      <c r="D217" s="274">
        <v>3.7</v>
      </c>
    </row>
    <row r="218" spans="2:4" x14ac:dyDescent="0.2">
      <c r="B218" s="473" t="s">
        <v>1228</v>
      </c>
      <c r="C218" s="475">
        <v>40.000000000000036</v>
      </c>
      <c r="D218" s="274">
        <v>3</v>
      </c>
    </row>
    <row r="219" spans="2:4" x14ac:dyDescent="0.2">
      <c r="B219" s="473" t="s">
        <v>1229</v>
      </c>
      <c r="C219" s="475">
        <v>39</v>
      </c>
      <c r="D219" s="274">
        <v>1.5</v>
      </c>
    </row>
    <row r="220" spans="2:4" x14ac:dyDescent="0.2">
      <c r="B220" s="473" t="s">
        <v>1230</v>
      </c>
      <c r="C220" s="475">
        <v>39</v>
      </c>
      <c r="D220" s="274">
        <v>2.0499999999999998</v>
      </c>
    </row>
    <row r="221" spans="2:4" x14ac:dyDescent="0.2">
      <c r="B221" s="473" t="s">
        <v>1572</v>
      </c>
      <c r="C221" s="475">
        <v>39</v>
      </c>
      <c r="D221" s="274">
        <v>2</v>
      </c>
    </row>
    <row r="222" spans="2:4" x14ac:dyDescent="0.2">
      <c r="B222" s="473" t="s">
        <v>1573</v>
      </c>
      <c r="C222" s="475">
        <v>39</v>
      </c>
      <c r="D222" s="274">
        <v>6.2</v>
      </c>
    </row>
    <row r="223" spans="2:4" x14ac:dyDescent="0.2">
      <c r="B223" s="473" t="s">
        <v>1231</v>
      </c>
      <c r="C223" s="475">
        <v>39</v>
      </c>
      <c r="D223" s="274">
        <v>1.8</v>
      </c>
    </row>
    <row r="224" spans="2:4" x14ac:dyDescent="0.2">
      <c r="B224" s="473" t="s">
        <v>1232</v>
      </c>
      <c r="C224" s="475">
        <v>39</v>
      </c>
      <c r="D224" s="274">
        <v>2.15</v>
      </c>
    </row>
    <row r="225" spans="2:4" x14ac:dyDescent="0.2">
      <c r="B225" s="473" t="s">
        <v>1233</v>
      </c>
      <c r="C225" s="475">
        <v>39</v>
      </c>
      <c r="D225" s="274">
        <v>2.0499999999999998</v>
      </c>
    </row>
    <row r="226" spans="2:4" x14ac:dyDescent="0.2">
      <c r="B226" s="473" t="s">
        <v>1234</v>
      </c>
      <c r="C226" s="475">
        <v>39</v>
      </c>
      <c r="D226" s="274">
        <v>7.15</v>
      </c>
    </row>
    <row r="227" spans="2:4" x14ac:dyDescent="0.2">
      <c r="B227" s="457" t="s">
        <v>1552</v>
      </c>
      <c r="C227" s="475">
        <v>39</v>
      </c>
      <c r="D227" s="274">
        <v>2.0499999999999998</v>
      </c>
    </row>
    <row r="228" spans="2:4" x14ac:dyDescent="0.2">
      <c r="B228" s="473" t="s">
        <v>1235</v>
      </c>
      <c r="C228" s="475">
        <v>39</v>
      </c>
      <c r="D228" s="274">
        <v>2.0499999999999998</v>
      </c>
    </row>
    <row r="229" spans="2:4" x14ac:dyDescent="0.2">
      <c r="B229" s="476" t="s">
        <v>111</v>
      </c>
      <c r="C229" s="475"/>
    </row>
    <row r="230" spans="2:4" x14ac:dyDescent="0.2">
      <c r="B230" s="473" t="s">
        <v>1236</v>
      </c>
      <c r="C230" s="475">
        <v>29</v>
      </c>
      <c r="D230" s="274">
        <v>3.7</v>
      </c>
    </row>
    <row r="231" spans="2:4" x14ac:dyDescent="0.2">
      <c r="B231" s="473" t="s">
        <v>1237</v>
      </c>
      <c r="C231" s="475">
        <v>29</v>
      </c>
      <c r="D231" s="274">
        <v>2.65</v>
      </c>
    </row>
    <row r="232" spans="2:4" x14ac:dyDescent="0.2">
      <c r="B232" s="473" t="s">
        <v>1238</v>
      </c>
      <c r="C232" s="475">
        <v>29</v>
      </c>
      <c r="D232" s="274">
        <v>2.65</v>
      </c>
    </row>
    <row r="233" spans="2:4" x14ac:dyDescent="0.2">
      <c r="B233" s="473" t="s">
        <v>1239</v>
      </c>
      <c r="C233" s="475">
        <v>29</v>
      </c>
      <c r="D233" s="274">
        <v>8</v>
      </c>
    </row>
    <row r="234" spans="2:4" x14ac:dyDescent="0.2">
      <c r="B234" s="473" t="s">
        <v>1240</v>
      </c>
      <c r="C234" s="475">
        <v>29</v>
      </c>
      <c r="D234" s="274">
        <v>2.2999999999999998</v>
      </c>
    </row>
    <row r="235" spans="2:4" x14ac:dyDescent="0.2">
      <c r="B235" s="473" t="s">
        <v>1241</v>
      </c>
      <c r="C235" s="475">
        <v>29</v>
      </c>
      <c r="D235" s="274">
        <v>3.2</v>
      </c>
    </row>
    <row r="236" spans="2:4" x14ac:dyDescent="0.2">
      <c r="B236" s="473" t="s">
        <v>1242</v>
      </c>
      <c r="C236" s="475">
        <v>29</v>
      </c>
      <c r="D236" s="274">
        <v>2.0499999999999998</v>
      </c>
    </row>
    <row r="237" spans="2:4" x14ac:dyDescent="0.2">
      <c r="B237" s="473" t="s">
        <v>1574</v>
      </c>
      <c r="C237" s="475">
        <v>29</v>
      </c>
      <c r="D237" s="274">
        <v>2.1</v>
      </c>
    </row>
    <row r="238" spans="2:4" x14ac:dyDescent="0.2">
      <c r="B238" s="473" t="s">
        <v>1243</v>
      </c>
      <c r="C238" s="475">
        <v>29</v>
      </c>
      <c r="D238" s="274">
        <v>3.05</v>
      </c>
    </row>
    <row r="239" spans="2:4" x14ac:dyDescent="0.2">
      <c r="B239" s="473" t="s">
        <v>1244</v>
      </c>
      <c r="C239" s="475">
        <v>29</v>
      </c>
      <c r="D239" s="274">
        <v>3.19</v>
      </c>
    </row>
    <row r="240" spans="2:4" x14ac:dyDescent="0.2">
      <c r="B240" s="473" t="s">
        <v>1245</v>
      </c>
      <c r="C240" s="475">
        <v>29</v>
      </c>
      <c r="D240" s="274">
        <v>3.15</v>
      </c>
    </row>
    <row r="241" spans="2:4" x14ac:dyDescent="0.2">
      <c r="B241" s="473" t="s">
        <v>112</v>
      </c>
      <c r="C241" s="475"/>
    </row>
    <row r="242" spans="2:4" x14ac:dyDescent="0.2">
      <c r="B242" s="476" t="s">
        <v>1246</v>
      </c>
      <c r="C242" s="475">
        <v>33</v>
      </c>
      <c r="D242" s="274">
        <v>6</v>
      </c>
    </row>
    <row r="243" spans="2:4" x14ac:dyDescent="0.2">
      <c r="B243" s="474" t="s">
        <v>1247</v>
      </c>
      <c r="C243" s="475">
        <v>37</v>
      </c>
      <c r="D243" s="274">
        <v>2.6</v>
      </c>
    </row>
    <row r="244" spans="2:4" x14ac:dyDescent="0.2">
      <c r="B244" s="474" t="s">
        <v>1248</v>
      </c>
      <c r="C244" s="475">
        <v>37</v>
      </c>
      <c r="D244" s="274">
        <v>2.4</v>
      </c>
    </row>
    <row r="245" spans="2:4" x14ac:dyDescent="0.2">
      <c r="B245" s="473" t="s">
        <v>1249</v>
      </c>
      <c r="C245" s="475">
        <v>33</v>
      </c>
      <c r="D245" s="274">
        <v>2.2999999999999998</v>
      </c>
    </row>
    <row r="246" spans="2:4" x14ac:dyDescent="0.2">
      <c r="B246" s="474" t="s">
        <v>1250</v>
      </c>
      <c r="C246" s="475">
        <v>33</v>
      </c>
      <c r="D246" s="274">
        <v>1</v>
      </c>
    </row>
    <row r="247" spans="2:4" x14ac:dyDescent="0.2">
      <c r="B247" s="473" t="s">
        <v>1620</v>
      </c>
      <c r="C247" s="475">
        <v>33</v>
      </c>
      <c r="D247" s="274">
        <v>2.1</v>
      </c>
    </row>
    <row r="248" spans="2:4" x14ac:dyDescent="0.2">
      <c r="B248" s="473" t="s">
        <v>1251</v>
      </c>
      <c r="C248" s="475">
        <v>37</v>
      </c>
      <c r="D248" s="274">
        <v>7.35</v>
      </c>
    </row>
    <row r="249" spans="2:4" x14ac:dyDescent="0.2">
      <c r="B249" s="473" t="s">
        <v>1252</v>
      </c>
      <c r="C249" s="475">
        <v>37</v>
      </c>
      <c r="D249" s="274">
        <v>1</v>
      </c>
    </row>
    <row r="250" spans="2:4" x14ac:dyDescent="0.2">
      <c r="B250" s="473" t="s">
        <v>1575</v>
      </c>
      <c r="C250" s="475">
        <v>37</v>
      </c>
      <c r="D250" s="274">
        <v>1.95</v>
      </c>
    </row>
    <row r="251" spans="2:4" x14ac:dyDescent="0.2">
      <c r="B251" s="473" t="s">
        <v>1253</v>
      </c>
      <c r="C251" s="475">
        <v>37</v>
      </c>
      <c r="D251" s="274">
        <v>2.25</v>
      </c>
    </row>
    <row r="252" spans="2:4" x14ac:dyDescent="0.2">
      <c r="B252" s="473" t="s">
        <v>1254</v>
      </c>
      <c r="C252" s="475">
        <v>37</v>
      </c>
      <c r="D252" s="274">
        <v>2.44</v>
      </c>
    </row>
    <row r="253" spans="2:4" x14ac:dyDescent="0.2">
      <c r="B253" s="476" t="s">
        <v>113</v>
      </c>
      <c r="C253" s="475"/>
    </row>
    <row r="254" spans="2:4" x14ac:dyDescent="0.2">
      <c r="B254" s="473" t="s">
        <v>1255</v>
      </c>
      <c r="C254" s="475">
        <v>37</v>
      </c>
      <c r="D254" s="274">
        <v>2.2999999999999998</v>
      </c>
    </row>
    <row r="255" spans="2:4" x14ac:dyDescent="0.2">
      <c r="B255" s="473" t="s">
        <v>1256</v>
      </c>
      <c r="C255" s="475">
        <v>24</v>
      </c>
      <c r="D255" s="274">
        <v>4.1500000000000004</v>
      </c>
    </row>
    <row r="256" spans="2:4" x14ac:dyDescent="0.2">
      <c r="B256" s="473" t="s">
        <v>1257</v>
      </c>
      <c r="C256" s="475">
        <v>37</v>
      </c>
      <c r="D256" s="274">
        <v>2.4500000000000002</v>
      </c>
    </row>
    <row r="257" spans="2:4" x14ac:dyDescent="0.2">
      <c r="B257" s="473" t="s">
        <v>1576</v>
      </c>
      <c r="C257" s="475">
        <v>37</v>
      </c>
      <c r="D257" s="274">
        <v>3.15</v>
      </c>
    </row>
    <row r="258" spans="2:4" x14ac:dyDescent="0.2">
      <c r="B258" s="473" t="s">
        <v>1577</v>
      </c>
      <c r="C258" s="475">
        <v>37</v>
      </c>
      <c r="D258" s="274">
        <v>1.45</v>
      </c>
    </row>
    <row r="259" spans="2:4" x14ac:dyDescent="0.2">
      <c r="B259" s="473" t="s">
        <v>1258</v>
      </c>
      <c r="C259" s="475">
        <v>37</v>
      </c>
      <c r="D259" s="274">
        <v>2.4500000000000002</v>
      </c>
    </row>
    <row r="261" spans="2:4" x14ac:dyDescent="0.2">
      <c r="B261" s="472" t="s">
        <v>114</v>
      </c>
      <c r="C261" s="249" t="s">
        <v>105</v>
      </c>
      <c r="D261" s="274" t="s">
        <v>106</v>
      </c>
    </row>
    <row r="262" spans="2:4" x14ac:dyDescent="0.2">
      <c r="B262" s="474" t="s">
        <v>1561</v>
      </c>
      <c r="C262" s="249">
        <v>34</v>
      </c>
      <c r="D262" s="274">
        <v>8</v>
      </c>
    </row>
    <row r="263" spans="2:4" x14ac:dyDescent="0.2">
      <c r="B263" s="474" t="s">
        <v>1562</v>
      </c>
      <c r="C263" s="249">
        <v>34</v>
      </c>
      <c r="D263" s="274">
        <v>13.7</v>
      </c>
    </row>
    <row r="264" spans="2:4" x14ac:dyDescent="0.2">
      <c r="B264" s="474" t="s">
        <v>1563</v>
      </c>
      <c r="C264" s="249">
        <v>34</v>
      </c>
      <c r="D264" s="274">
        <v>23</v>
      </c>
    </row>
    <row r="265" spans="2:4" x14ac:dyDescent="0.2">
      <c r="B265" s="473" t="s">
        <v>1259</v>
      </c>
      <c r="C265" s="288">
        <v>35</v>
      </c>
      <c r="D265" s="289">
        <v>15</v>
      </c>
    </row>
    <row r="266" spans="2:4" x14ac:dyDescent="0.2">
      <c r="B266" s="473" t="s">
        <v>1260</v>
      </c>
      <c r="C266" s="288">
        <v>35</v>
      </c>
      <c r="D266" s="289">
        <v>33</v>
      </c>
    </row>
    <row r="267" spans="2:4" x14ac:dyDescent="0.2">
      <c r="B267" s="473" t="s">
        <v>1261</v>
      </c>
      <c r="C267" s="288">
        <v>35</v>
      </c>
      <c r="D267" s="289">
        <v>37</v>
      </c>
    </row>
    <row r="268" spans="2:4" x14ac:dyDescent="0.2">
      <c r="B268" s="473" t="s">
        <v>1262</v>
      </c>
      <c r="C268" s="288">
        <v>34</v>
      </c>
      <c r="D268" s="289">
        <v>55</v>
      </c>
    </row>
    <row r="269" spans="2:4" x14ac:dyDescent="0.2">
      <c r="B269" s="473" t="s">
        <v>1263</v>
      </c>
      <c r="C269" s="288">
        <v>34</v>
      </c>
      <c r="D269" s="289">
        <v>55</v>
      </c>
    </row>
    <row r="270" spans="2:4" x14ac:dyDescent="0.2">
      <c r="B270" s="473" t="s">
        <v>1264</v>
      </c>
      <c r="C270" s="288">
        <v>34</v>
      </c>
      <c r="D270" s="289">
        <v>75</v>
      </c>
    </row>
    <row r="271" spans="2:4" x14ac:dyDescent="0.2">
      <c r="B271" s="473" t="s">
        <v>1265</v>
      </c>
      <c r="C271" s="288">
        <v>34</v>
      </c>
      <c r="D271" s="289">
        <v>75</v>
      </c>
    </row>
    <row r="272" spans="2:4" x14ac:dyDescent="0.2">
      <c r="B272" s="473" t="s">
        <v>1266</v>
      </c>
      <c r="C272" s="288">
        <v>34</v>
      </c>
      <c r="D272" s="289">
        <v>75</v>
      </c>
    </row>
    <row r="273" spans="2:4" x14ac:dyDescent="0.2">
      <c r="B273" s="473" t="s">
        <v>1267</v>
      </c>
      <c r="C273" s="288">
        <v>33</v>
      </c>
      <c r="D273" s="289">
        <v>105</v>
      </c>
    </row>
    <row r="274" spans="2:4" x14ac:dyDescent="0.2">
      <c r="B274" s="473" t="s">
        <v>1268</v>
      </c>
      <c r="C274" s="288">
        <v>33</v>
      </c>
      <c r="D274" s="289">
        <v>155</v>
      </c>
    </row>
    <row r="275" spans="2:4" x14ac:dyDescent="0.2">
      <c r="B275" s="473" t="s">
        <v>1269</v>
      </c>
      <c r="C275" s="288">
        <v>33</v>
      </c>
      <c r="D275" s="289">
        <v>2.2999999999999998</v>
      </c>
    </row>
    <row r="276" spans="2:4" x14ac:dyDescent="0.2">
      <c r="B276" s="473" t="s">
        <v>1270</v>
      </c>
      <c r="C276" s="288">
        <v>33</v>
      </c>
      <c r="D276" s="289">
        <v>12</v>
      </c>
    </row>
    <row r="277" spans="2:4" x14ac:dyDescent="0.2">
      <c r="B277" s="473" t="s">
        <v>1271</v>
      </c>
      <c r="C277" s="288">
        <v>33</v>
      </c>
      <c r="D277" s="289">
        <v>19.5</v>
      </c>
    </row>
    <row r="278" spans="2:4" x14ac:dyDescent="0.2">
      <c r="B278" s="473" t="s">
        <v>1272</v>
      </c>
      <c r="C278" s="288">
        <v>33</v>
      </c>
      <c r="D278" s="289">
        <v>27</v>
      </c>
    </row>
    <row r="279" spans="2:4" x14ac:dyDescent="0.2">
      <c r="B279" s="473" t="s">
        <v>1273</v>
      </c>
      <c r="C279" s="288">
        <v>33</v>
      </c>
      <c r="D279" s="289">
        <v>34.5</v>
      </c>
    </row>
    <row r="280" spans="2:4" x14ac:dyDescent="0.2">
      <c r="B280" s="473" t="s">
        <v>1274</v>
      </c>
      <c r="C280" s="288">
        <v>33</v>
      </c>
      <c r="D280" s="289">
        <v>45.5</v>
      </c>
    </row>
    <row r="281" spans="2:4" x14ac:dyDescent="0.2">
      <c r="B281" s="473" t="s">
        <v>1275</v>
      </c>
      <c r="C281" s="288">
        <v>33</v>
      </c>
      <c r="D281" s="289">
        <v>63</v>
      </c>
    </row>
    <row r="282" spans="2:4" x14ac:dyDescent="0.2">
      <c r="B282" s="473" t="s">
        <v>1276</v>
      </c>
      <c r="C282" s="288">
        <v>33</v>
      </c>
      <c r="D282" s="289">
        <v>132.5</v>
      </c>
    </row>
    <row r="283" spans="2:4" x14ac:dyDescent="0.2">
      <c r="B283" s="474" t="s">
        <v>1277</v>
      </c>
      <c r="C283" s="288">
        <v>37</v>
      </c>
      <c r="D283" s="289">
        <v>25</v>
      </c>
    </row>
    <row r="284" spans="2:4" x14ac:dyDescent="0.2">
      <c r="B284" s="474" t="s">
        <v>115</v>
      </c>
      <c r="C284" s="475">
        <v>35</v>
      </c>
      <c r="D284" s="274">
        <v>10</v>
      </c>
    </row>
    <row r="285" spans="2:4" x14ac:dyDescent="0.2">
      <c r="B285" s="474" t="s">
        <v>116</v>
      </c>
      <c r="C285" s="475">
        <v>35</v>
      </c>
      <c r="D285" s="274">
        <v>20</v>
      </c>
    </row>
    <row r="286" spans="2:4" x14ac:dyDescent="0.2">
      <c r="B286" s="474" t="s">
        <v>117</v>
      </c>
      <c r="C286" s="475">
        <v>35</v>
      </c>
      <c r="D286" s="274">
        <v>30</v>
      </c>
    </row>
    <row r="287" spans="2:4" x14ac:dyDescent="0.2">
      <c r="B287" s="474" t="s">
        <v>118</v>
      </c>
      <c r="C287" s="475">
        <v>34.000000000000028</v>
      </c>
      <c r="D287" s="274">
        <v>40</v>
      </c>
    </row>
    <row r="288" spans="2:4" x14ac:dyDescent="0.2">
      <c r="B288" s="474" t="s">
        <v>119</v>
      </c>
      <c r="C288" s="475">
        <v>34.000000000000028</v>
      </c>
      <c r="D288" s="274">
        <v>60</v>
      </c>
    </row>
    <row r="289" spans="2:4" x14ac:dyDescent="0.2">
      <c r="B289" s="474" t="s">
        <v>120</v>
      </c>
      <c r="C289" s="475">
        <v>34.000000000000028</v>
      </c>
      <c r="D289" s="274">
        <v>80</v>
      </c>
    </row>
    <row r="290" spans="2:4" x14ac:dyDescent="0.2">
      <c r="B290" s="474" t="s">
        <v>121</v>
      </c>
      <c r="C290" s="475">
        <v>34.000000000000028</v>
      </c>
      <c r="D290" s="274">
        <v>90</v>
      </c>
    </row>
    <row r="291" spans="2:4" x14ac:dyDescent="0.2">
      <c r="B291" s="474" t="s">
        <v>122</v>
      </c>
      <c r="C291" s="475">
        <v>33</v>
      </c>
      <c r="D291" s="274">
        <v>120</v>
      </c>
    </row>
    <row r="292" spans="2:4" x14ac:dyDescent="0.2">
      <c r="B292" s="474" t="s">
        <v>1278</v>
      </c>
      <c r="C292" s="475">
        <v>35</v>
      </c>
      <c r="D292" s="274">
        <v>20</v>
      </c>
    </row>
    <row r="293" spans="2:4" x14ac:dyDescent="0.2">
      <c r="B293" s="474" t="s">
        <v>1279</v>
      </c>
      <c r="C293" s="475">
        <v>34.000000000000028</v>
      </c>
      <c r="D293" s="274">
        <v>60</v>
      </c>
    </row>
    <row r="294" spans="2:4" x14ac:dyDescent="0.2">
      <c r="B294" s="473" t="s">
        <v>1280</v>
      </c>
      <c r="C294" s="475">
        <v>33</v>
      </c>
      <c r="D294" s="274">
        <v>130</v>
      </c>
    </row>
    <row r="295" spans="2:4" x14ac:dyDescent="0.2">
      <c r="B295" s="474" t="s">
        <v>1281</v>
      </c>
      <c r="C295" s="475">
        <v>35</v>
      </c>
      <c r="D295" s="274">
        <v>55</v>
      </c>
    </row>
    <row r="296" spans="2:4" x14ac:dyDescent="0.2">
      <c r="B296" s="473" t="s">
        <v>1282</v>
      </c>
      <c r="C296" s="475">
        <v>35</v>
      </c>
      <c r="D296" s="274">
        <v>60</v>
      </c>
    </row>
    <row r="297" spans="2:4" x14ac:dyDescent="0.2">
      <c r="B297" s="473" t="s">
        <v>1283</v>
      </c>
      <c r="C297" s="475">
        <v>34.000000000000028</v>
      </c>
      <c r="D297" s="274">
        <v>56.849999999999994</v>
      </c>
    </row>
    <row r="298" spans="2:4" x14ac:dyDescent="0.2">
      <c r="B298" s="473" t="s">
        <v>1284</v>
      </c>
      <c r="C298" s="475">
        <v>34.000000000000028</v>
      </c>
      <c r="D298" s="274">
        <v>94.38</v>
      </c>
    </row>
    <row r="299" spans="2:4" x14ac:dyDescent="0.2">
      <c r="B299" s="473" t="s">
        <v>1285</v>
      </c>
      <c r="C299" s="475">
        <v>33</v>
      </c>
      <c r="D299" s="274">
        <v>177</v>
      </c>
    </row>
    <row r="300" spans="2:4" x14ac:dyDescent="0.2">
      <c r="B300" s="473" t="s">
        <v>1286</v>
      </c>
      <c r="C300" s="475">
        <v>34.000000000000028</v>
      </c>
      <c r="D300" s="274">
        <v>3.6</v>
      </c>
    </row>
    <row r="301" spans="2:4" x14ac:dyDescent="0.2">
      <c r="B301" s="473" t="s">
        <v>1287</v>
      </c>
      <c r="C301" s="475">
        <v>34.000000000000028</v>
      </c>
      <c r="D301" s="274">
        <v>8.25</v>
      </c>
    </row>
    <row r="302" spans="2:4" x14ac:dyDescent="0.2">
      <c r="B302" s="473" t="s">
        <v>1288</v>
      </c>
      <c r="C302" s="475">
        <v>34.000000000000028</v>
      </c>
      <c r="D302" s="274">
        <v>19.299999999999997</v>
      </c>
    </row>
    <row r="303" spans="2:4" x14ac:dyDescent="0.2">
      <c r="B303" s="473" t="s">
        <v>1289</v>
      </c>
      <c r="C303" s="475">
        <v>34.000000000000028</v>
      </c>
      <c r="D303" s="274">
        <v>45.55</v>
      </c>
    </row>
    <row r="304" spans="2:4" x14ac:dyDescent="0.2">
      <c r="B304" s="473" t="s">
        <v>1290</v>
      </c>
      <c r="C304" s="475">
        <v>30.000000000000028</v>
      </c>
      <c r="D304" s="274">
        <v>109.38</v>
      </c>
    </row>
    <row r="305" spans="2:4" x14ac:dyDescent="0.2">
      <c r="B305" s="473" t="s">
        <v>1291</v>
      </c>
      <c r="C305" s="475">
        <v>35</v>
      </c>
      <c r="D305" s="274">
        <v>57</v>
      </c>
    </row>
    <row r="306" spans="2:4" x14ac:dyDescent="0.2">
      <c r="B306" s="474" t="s">
        <v>1292</v>
      </c>
      <c r="C306" s="475">
        <v>34.000000000000028</v>
      </c>
      <c r="D306" s="274">
        <v>11.8</v>
      </c>
    </row>
    <row r="307" spans="2:4" x14ac:dyDescent="0.2">
      <c r="B307" s="474" t="s">
        <v>1293</v>
      </c>
      <c r="C307" s="475">
        <v>34.000000000000028</v>
      </c>
      <c r="D307" s="274">
        <v>16.45</v>
      </c>
    </row>
    <row r="308" spans="2:4" x14ac:dyDescent="0.2">
      <c r="B308" s="474" t="s">
        <v>1294</v>
      </c>
      <c r="C308" s="475">
        <v>34.000000000000028</v>
      </c>
      <c r="D308" s="274">
        <v>42</v>
      </c>
    </row>
    <row r="309" spans="2:4" x14ac:dyDescent="0.2">
      <c r="B309" s="474" t="s">
        <v>1295</v>
      </c>
      <c r="C309" s="475">
        <v>34.000000000000028</v>
      </c>
      <c r="D309" s="274">
        <v>64.599999999999994</v>
      </c>
    </row>
    <row r="310" spans="2:4" x14ac:dyDescent="0.2">
      <c r="B310" s="474" t="s">
        <v>1296</v>
      </c>
      <c r="C310" s="475">
        <v>33</v>
      </c>
      <c r="D310" s="274">
        <v>101.5</v>
      </c>
    </row>
    <row r="311" spans="2:4" x14ac:dyDescent="0.2">
      <c r="B311" s="474" t="s">
        <v>1297</v>
      </c>
      <c r="C311" s="475">
        <v>33</v>
      </c>
      <c r="D311" s="274">
        <v>170.5</v>
      </c>
    </row>
    <row r="312" spans="2:4" x14ac:dyDescent="0.2">
      <c r="B312" s="474" t="s">
        <v>1298</v>
      </c>
      <c r="C312" s="475">
        <v>34.000000000000028</v>
      </c>
      <c r="D312" s="274">
        <v>177.5</v>
      </c>
    </row>
    <row r="313" spans="2:4" x14ac:dyDescent="0.2">
      <c r="B313" s="473" t="s">
        <v>1299</v>
      </c>
      <c r="C313" s="475">
        <v>34.000000000000028</v>
      </c>
      <c r="D313" s="274">
        <v>22.5</v>
      </c>
    </row>
    <row r="314" spans="2:4" x14ac:dyDescent="0.2">
      <c r="B314" s="473" t="s">
        <v>1300</v>
      </c>
      <c r="C314" s="475">
        <v>34.000000000000028</v>
      </c>
      <c r="D314" s="274">
        <v>15</v>
      </c>
    </row>
    <row r="315" spans="2:4" x14ac:dyDescent="0.2">
      <c r="B315" s="473" t="s">
        <v>1301</v>
      </c>
      <c r="C315" s="475">
        <v>34.000000000000028</v>
      </c>
      <c r="D315" s="274">
        <v>30</v>
      </c>
    </row>
    <row r="316" spans="2:4" x14ac:dyDescent="0.2">
      <c r="B316" s="473" t="s">
        <v>1302</v>
      </c>
      <c r="C316" s="475">
        <v>34.000000000000028</v>
      </c>
      <c r="D316" s="274">
        <v>40</v>
      </c>
    </row>
    <row r="317" spans="2:4" x14ac:dyDescent="0.2">
      <c r="B317" s="473" t="s">
        <v>1303</v>
      </c>
      <c r="C317" s="475">
        <v>34.000000000000028</v>
      </c>
      <c r="D317" s="274">
        <v>60</v>
      </c>
    </row>
    <row r="318" spans="2:4" x14ac:dyDescent="0.2">
      <c r="B318" s="473" t="s">
        <v>1304</v>
      </c>
      <c r="C318" s="475">
        <v>34.000000000000028</v>
      </c>
      <c r="D318" s="274">
        <v>75</v>
      </c>
    </row>
    <row r="319" spans="2:4" x14ac:dyDescent="0.2">
      <c r="B319" s="473" t="s">
        <v>1305</v>
      </c>
      <c r="C319" s="475">
        <v>34.000000000000028</v>
      </c>
      <c r="D319" s="274">
        <v>120</v>
      </c>
    </row>
    <row r="320" spans="2:4" x14ac:dyDescent="0.2">
      <c r="B320" s="473" t="s">
        <v>1306</v>
      </c>
      <c r="C320" s="475">
        <v>34.000000000000028</v>
      </c>
      <c r="D320" s="274">
        <v>150</v>
      </c>
    </row>
    <row r="321" spans="2:4" x14ac:dyDescent="0.2">
      <c r="B321" s="473" t="s">
        <v>1307</v>
      </c>
      <c r="C321" s="475">
        <v>34.000000000000028</v>
      </c>
      <c r="D321" s="274">
        <v>40</v>
      </c>
    </row>
    <row r="322" spans="2:4" x14ac:dyDescent="0.2">
      <c r="B322" s="474" t="s">
        <v>1631</v>
      </c>
      <c r="C322" s="475">
        <v>34</v>
      </c>
      <c r="D322" s="274">
        <v>14.5</v>
      </c>
    </row>
    <row r="323" spans="2:4" x14ac:dyDescent="0.2">
      <c r="B323" s="473" t="s">
        <v>1308</v>
      </c>
      <c r="C323" s="475">
        <v>35</v>
      </c>
      <c r="D323" s="274">
        <v>8</v>
      </c>
    </row>
    <row r="324" spans="2:4" x14ac:dyDescent="0.2">
      <c r="B324" s="473" t="s">
        <v>1309</v>
      </c>
      <c r="C324" s="475">
        <v>34.000000000000028</v>
      </c>
      <c r="D324" s="274">
        <v>20</v>
      </c>
    </row>
    <row r="325" spans="2:4" x14ac:dyDescent="0.2">
      <c r="B325" s="473" t="s">
        <v>1310</v>
      </c>
      <c r="C325" s="475">
        <v>33</v>
      </c>
      <c r="D325" s="274">
        <v>38</v>
      </c>
    </row>
    <row r="326" spans="2:4" x14ac:dyDescent="0.2">
      <c r="B326" s="473" t="s">
        <v>1311</v>
      </c>
      <c r="C326" s="475">
        <v>33</v>
      </c>
      <c r="D326" s="274">
        <v>45</v>
      </c>
    </row>
    <row r="327" spans="2:4" x14ac:dyDescent="0.2">
      <c r="B327" s="473" t="s">
        <v>1312</v>
      </c>
      <c r="C327" s="475">
        <v>35</v>
      </c>
      <c r="D327" s="274">
        <v>76</v>
      </c>
    </row>
    <row r="328" spans="2:4" x14ac:dyDescent="0.2">
      <c r="B328" s="473" t="s">
        <v>1313</v>
      </c>
      <c r="C328" s="475">
        <v>30.000000000000028</v>
      </c>
      <c r="D328" s="274">
        <v>125</v>
      </c>
    </row>
    <row r="329" spans="2:4" x14ac:dyDescent="0.2">
      <c r="B329" s="473" t="s">
        <v>1314</v>
      </c>
      <c r="C329" s="475">
        <v>35</v>
      </c>
      <c r="D329" s="274">
        <v>15</v>
      </c>
    </row>
    <row r="330" spans="2:4" x14ac:dyDescent="0.2">
      <c r="B330" s="473" t="s">
        <v>1315</v>
      </c>
      <c r="C330" s="475">
        <v>33</v>
      </c>
      <c r="D330" s="274">
        <v>47.5</v>
      </c>
    </row>
    <row r="331" spans="2:4" x14ac:dyDescent="0.2">
      <c r="B331" s="473" t="s">
        <v>1316</v>
      </c>
      <c r="C331" s="475">
        <v>35</v>
      </c>
      <c r="D331" s="274">
        <v>64.5</v>
      </c>
    </row>
    <row r="332" spans="2:4" x14ac:dyDescent="0.2">
      <c r="B332" s="473" t="s">
        <v>1317</v>
      </c>
      <c r="C332" s="475">
        <v>33</v>
      </c>
      <c r="D332" s="274">
        <v>103</v>
      </c>
    </row>
    <row r="333" spans="2:4" x14ac:dyDescent="0.2">
      <c r="B333" s="473" t="s">
        <v>1318</v>
      </c>
      <c r="C333" s="475">
        <v>35</v>
      </c>
      <c r="D333" s="274">
        <v>171</v>
      </c>
    </row>
    <row r="334" spans="2:4" x14ac:dyDescent="0.2">
      <c r="B334" s="474" t="s">
        <v>123</v>
      </c>
      <c r="C334" s="475">
        <v>34.999999999999922</v>
      </c>
      <c r="D334" s="274">
        <v>15</v>
      </c>
    </row>
    <row r="335" spans="2:4" x14ac:dyDescent="0.2">
      <c r="B335" s="474" t="s">
        <v>124</v>
      </c>
      <c r="C335" s="475">
        <v>35</v>
      </c>
      <c r="D335" s="274">
        <v>25</v>
      </c>
    </row>
    <row r="336" spans="2:4" x14ac:dyDescent="0.2">
      <c r="B336" s="474" t="s">
        <v>125</v>
      </c>
      <c r="C336" s="475">
        <v>35</v>
      </c>
      <c r="D336" s="274">
        <v>35</v>
      </c>
    </row>
    <row r="337" spans="2:4" x14ac:dyDescent="0.2">
      <c r="B337" s="474" t="s">
        <v>126</v>
      </c>
      <c r="C337" s="475">
        <v>34.000000000000028</v>
      </c>
      <c r="D337" s="274">
        <v>45</v>
      </c>
    </row>
    <row r="338" spans="2:4" x14ac:dyDescent="0.2">
      <c r="B338" s="474" t="s">
        <v>127</v>
      </c>
      <c r="C338" s="475">
        <v>34.000000000000028</v>
      </c>
      <c r="D338" s="274">
        <v>55</v>
      </c>
    </row>
    <row r="339" spans="2:4" x14ac:dyDescent="0.2">
      <c r="B339" s="474" t="s">
        <v>128</v>
      </c>
      <c r="C339" s="475">
        <v>34.000000000000028</v>
      </c>
      <c r="D339" s="274">
        <v>70</v>
      </c>
    </row>
    <row r="340" spans="2:4" x14ac:dyDescent="0.2">
      <c r="B340" s="474" t="s">
        <v>129</v>
      </c>
      <c r="C340" s="475">
        <v>34.000000000000028</v>
      </c>
      <c r="D340" s="274">
        <v>90</v>
      </c>
    </row>
    <row r="341" spans="2:4" x14ac:dyDescent="0.2">
      <c r="B341" s="474" t="s">
        <v>130</v>
      </c>
      <c r="C341" s="475">
        <v>33</v>
      </c>
      <c r="D341" s="274">
        <v>110</v>
      </c>
    </row>
    <row r="342" spans="2:4" x14ac:dyDescent="0.2">
      <c r="B342" s="474" t="s">
        <v>131</v>
      </c>
      <c r="C342" s="475">
        <v>33</v>
      </c>
      <c r="D342" s="274">
        <v>140</v>
      </c>
    </row>
    <row r="343" spans="2:4" x14ac:dyDescent="0.2">
      <c r="B343" s="474" t="s">
        <v>132</v>
      </c>
      <c r="C343" s="475">
        <v>35</v>
      </c>
      <c r="D343" s="274">
        <v>170</v>
      </c>
    </row>
    <row r="344" spans="2:4" x14ac:dyDescent="0.2">
      <c r="B344" s="474" t="s">
        <v>133</v>
      </c>
      <c r="C344" s="475">
        <v>35</v>
      </c>
      <c r="D344" s="274">
        <v>190</v>
      </c>
    </row>
    <row r="345" spans="2:4" x14ac:dyDescent="0.2">
      <c r="B345" s="473" t="s">
        <v>1319</v>
      </c>
      <c r="C345" s="475">
        <v>34.000000000000028</v>
      </c>
      <c r="D345" s="274">
        <v>16.3</v>
      </c>
    </row>
    <row r="346" spans="2:4" x14ac:dyDescent="0.2">
      <c r="B346" s="473" t="s">
        <v>1320</v>
      </c>
      <c r="C346" s="475">
        <v>34.000000000000028</v>
      </c>
      <c r="D346" s="274">
        <v>25.3</v>
      </c>
    </row>
    <row r="347" spans="2:4" x14ac:dyDescent="0.2">
      <c r="B347" s="473" t="s">
        <v>1321</v>
      </c>
      <c r="C347" s="475">
        <v>34.000000000000028</v>
      </c>
      <c r="D347" s="274">
        <v>42.9</v>
      </c>
    </row>
    <row r="348" spans="2:4" x14ac:dyDescent="0.2">
      <c r="B348" s="473" t="s">
        <v>1322</v>
      </c>
      <c r="C348" s="475">
        <v>34.000000000000028</v>
      </c>
      <c r="D348" s="274">
        <v>50.5</v>
      </c>
    </row>
    <row r="349" spans="2:4" x14ac:dyDescent="0.2">
      <c r="B349" s="473" t="s">
        <v>1323</v>
      </c>
      <c r="C349" s="475">
        <v>34.000000000000028</v>
      </c>
      <c r="D349" s="274">
        <v>71.8</v>
      </c>
    </row>
    <row r="350" spans="2:4" x14ac:dyDescent="0.2">
      <c r="B350" s="473" t="s">
        <v>1324</v>
      </c>
      <c r="C350" s="475">
        <v>34.000000000000028</v>
      </c>
      <c r="D350" s="274">
        <v>107.4</v>
      </c>
    </row>
    <row r="351" spans="2:4" x14ac:dyDescent="0.2">
      <c r="B351" s="473" t="s">
        <v>1325</v>
      </c>
      <c r="C351" s="475">
        <v>35</v>
      </c>
      <c r="D351" s="274">
        <v>188.1</v>
      </c>
    </row>
    <row r="352" spans="2:4" x14ac:dyDescent="0.2">
      <c r="B352" s="473" t="s">
        <v>1326</v>
      </c>
      <c r="C352" s="475">
        <v>33</v>
      </c>
      <c r="D352" s="274">
        <v>120.6</v>
      </c>
    </row>
    <row r="353" spans="2:4" x14ac:dyDescent="0.2">
      <c r="B353" s="473" t="s">
        <v>1327</v>
      </c>
      <c r="C353" s="475">
        <v>34.000000000000028</v>
      </c>
      <c r="D353" s="274">
        <v>71.8</v>
      </c>
    </row>
    <row r="354" spans="2:4" x14ac:dyDescent="0.2">
      <c r="B354" s="473" t="s">
        <v>1328</v>
      </c>
      <c r="C354" s="475">
        <v>35</v>
      </c>
      <c r="D354" s="274">
        <v>116.8</v>
      </c>
    </row>
    <row r="355" spans="2:4" x14ac:dyDescent="0.2">
      <c r="B355" s="473" t="s">
        <v>1578</v>
      </c>
      <c r="C355" s="475">
        <v>34</v>
      </c>
      <c r="D355" s="274">
        <v>6</v>
      </c>
    </row>
    <row r="356" spans="2:4" x14ac:dyDescent="0.2">
      <c r="B356" s="473" t="s">
        <v>1579</v>
      </c>
      <c r="C356" s="475">
        <v>34</v>
      </c>
      <c r="D356" s="274">
        <v>10</v>
      </c>
    </row>
    <row r="357" spans="2:4" x14ac:dyDescent="0.2">
      <c r="B357" s="473" t="s">
        <v>1580</v>
      </c>
      <c r="C357" s="475">
        <v>34</v>
      </c>
      <c r="D357" s="274">
        <v>10</v>
      </c>
    </row>
    <row r="358" spans="2:4" x14ac:dyDescent="0.2">
      <c r="B358" s="473" t="s">
        <v>1581</v>
      </c>
      <c r="C358" s="475">
        <v>34</v>
      </c>
      <c r="D358" s="274">
        <v>14</v>
      </c>
    </row>
    <row r="359" spans="2:4" x14ac:dyDescent="0.2">
      <c r="B359" s="473" t="s">
        <v>1582</v>
      </c>
      <c r="C359" s="475">
        <v>34</v>
      </c>
      <c r="D359" s="274">
        <v>19</v>
      </c>
    </row>
    <row r="360" spans="2:4" x14ac:dyDescent="0.2">
      <c r="B360" s="473" t="s">
        <v>1583</v>
      </c>
      <c r="C360" s="475">
        <v>34</v>
      </c>
      <c r="D360" s="274">
        <v>26.5</v>
      </c>
    </row>
    <row r="361" spans="2:4" x14ac:dyDescent="0.2">
      <c r="B361" s="473" t="s">
        <v>1584</v>
      </c>
      <c r="C361" s="475">
        <v>34</v>
      </c>
      <c r="D361" s="274">
        <v>35</v>
      </c>
    </row>
    <row r="362" spans="2:4" x14ac:dyDescent="0.2">
      <c r="B362" s="473" t="s">
        <v>1585</v>
      </c>
      <c r="C362" s="475">
        <v>34</v>
      </c>
      <c r="D362" s="274">
        <v>45</v>
      </c>
    </row>
    <row r="363" spans="2:4" x14ac:dyDescent="0.2">
      <c r="B363" s="473" t="s">
        <v>1586</v>
      </c>
      <c r="C363" s="475">
        <v>34</v>
      </c>
      <c r="D363" s="274">
        <v>55</v>
      </c>
    </row>
    <row r="364" spans="2:4" x14ac:dyDescent="0.2">
      <c r="B364" s="473" t="s">
        <v>1587</v>
      </c>
      <c r="C364" s="475">
        <v>34</v>
      </c>
      <c r="D364" s="274">
        <v>68</v>
      </c>
    </row>
    <row r="365" spans="2:4" x14ac:dyDescent="0.2">
      <c r="B365" s="473" t="s">
        <v>1588</v>
      </c>
      <c r="C365" s="475">
        <v>34</v>
      </c>
      <c r="D365" s="274">
        <v>82.5</v>
      </c>
    </row>
    <row r="366" spans="2:4" x14ac:dyDescent="0.2">
      <c r="B366" s="473" t="s">
        <v>1589</v>
      </c>
      <c r="C366" s="475">
        <v>34</v>
      </c>
      <c r="D366" s="274">
        <v>112.5</v>
      </c>
    </row>
    <row r="367" spans="2:4" x14ac:dyDescent="0.2">
      <c r="B367" s="473" t="s">
        <v>1590</v>
      </c>
      <c r="C367" s="475">
        <v>34</v>
      </c>
      <c r="D367" s="274">
        <v>34.5</v>
      </c>
    </row>
    <row r="368" spans="2:4" x14ac:dyDescent="0.2">
      <c r="B368" s="473" t="s">
        <v>1591</v>
      </c>
      <c r="C368" s="475">
        <v>34</v>
      </c>
      <c r="D368" s="274">
        <v>66</v>
      </c>
    </row>
    <row r="369" spans="2:4" x14ac:dyDescent="0.2">
      <c r="B369" s="473" t="s">
        <v>1592</v>
      </c>
      <c r="C369" s="475">
        <v>34</v>
      </c>
      <c r="D369" s="274">
        <v>15.45</v>
      </c>
    </row>
    <row r="370" spans="2:4" x14ac:dyDescent="0.2">
      <c r="B370" s="473" t="s">
        <v>1593</v>
      </c>
      <c r="C370" s="475">
        <v>34</v>
      </c>
      <c r="D370" s="274">
        <v>15.45</v>
      </c>
    </row>
    <row r="371" spans="2:4" x14ac:dyDescent="0.2">
      <c r="B371" s="473" t="s">
        <v>1594</v>
      </c>
      <c r="C371" s="475">
        <v>34</v>
      </c>
      <c r="D371" s="274">
        <v>15.45</v>
      </c>
    </row>
    <row r="372" spans="2:4" x14ac:dyDescent="0.2">
      <c r="B372" s="473" t="s">
        <v>1329</v>
      </c>
      <c r="C372" s="475">
        <v>34.000000000000028</v>
      </c>
      <c r="D372" s="274">
        <v>11</v>
      </c>
    </row>
    <row r="373" spans="2:4" x14ac:dyDescent="0.2">
      <c r="B373" s="473" t="s">
        <v>1330</v>
      </c>
      <c r="C373" s="475">
        <v>35</v>
      </c>
      <c r="D373" s="274">
        <v>25</v>
      </c>
    </row>
    <row r="374" spans="2:4" x14ac:dyDescent="0.2">
      <c r="B374" s="473" t="s">
        <v>1331</v>
      </c>
      <c r="C374" s="475">
        <v>34.000000000000028</v>
      </c>
      <c r="D374" s="274">
        <v>45</v>
      </c>
    </row>
    <row r="375" spans="2:4" x14ac:dyDescent="0.2">
      <c r="B375" s="473" t="s">
        <v>1332</v>
      </c>
      <c r="C375" s="475">
        <v>34.000000000000028</v>
      </c>
      <c r="D375" s="274">
        <v>65</v>
      </c>
    </row>
    <row r="376" spans="2:4" x14ac:dyDescent="0.2">
      <c r="B376" s="473" t="s">
        <v>1333</v>
      </c>
      <c r="C376" s="475">
        <v>34.000000000000028</v>
      </c>
      <c r="D376" s="274">
        <v>85</v>
      </c>
    </row>
    <row r="377" spans="2:4" x14ac:dyDescent="0.2">
      <c r="B377" s="473" t="s">
        <v>1334</v>
      </c>
      <c r="C377" s="475">
        <v>33</v>
      </c>
      <c r="D377" s="274">
        <v>120</v>
      </c>
    </row>
    <row r="378" spans="2:4" x14ac:dyDescent="0.2">
      <c r="B378" s="473" t="s">
        <v>1335</v>
      </c>
      <c r="C378" s="475">
        <v>35</v>
      </c>
      <c r="D378" s="274">
        <v>60</v>
      </c>
    </row>
    <row r="379" spans="2:4" x14ac:dyDescent="0.2">
      <c r="B379" s="473" t="s">
        <v>1336</v>
      </c>
      <c r="C379" s="475">
        <v>35</v>
      </c>
      <c r="D379" s="274">
        <v>70</v>
      </c>
    </row>
    <row r="380" spans="2:4" x14ac:dyDescent="0.2">
      <c r="B380" s="473" t="s">
        <v>1337</v>
      </c>
      <c r="C380" s="475">
        <v>35</v>
      </c>
      <c r="D380" s="274">
        <v>3.56</v>
      </c>
    </row>
    <row r="381" spans="2:4" x14ac:dyDescent="0.2">
      <c r="B381" s="473" t="s">
        <v>1338</v>
      </c>
      <c r="C381" s="475">
        <v>35</v>
      </c>
      <c r="D381" s="274">
        <v>3.56</v>
      </c>
    </row>
    <row r="382" spans="2:4" x14ac:dyDescent="0.2">
      <c r="B382" s="473" t="s">
        <v>1339</v>
      </c>
      <c r="C382" s="475">
        <v>35</v>
      </c>
      <c r="D382" s="274">
        <v>4.87</v>
      </c>
    </row>
    <row r="383" spans="2:4" x14ac:dyDescent="0.2">
      <c r="B383" s="473" t="s">
        <v>1340</v>
      </c>
      <c r="C383" s="475">
        <v>35</v>
      </c>
      <c r="D383" s="274">
        <v>13.69</v>
      </c>
    </row>
    <row r="384" spans="2:4" x14ac:dyDescent="0.2">
      <c r="B384" s="473" t="s">
        <v>1341</v>
      </c>
      <c r="C384" s="475">
        <v>35</v>
      </c>
      <c r="D384" s="274">
        <v>26.81</v>
      </c>
    </row>
    <row r="385" spans="2:4" x14ac:dyDescent="0.2">
      <c r="B385" s="473" t="s">
        <v>1342</v>
      </c>
      <c r="C385" s="475">
        <v>35</v>
      </c>
      <c r="D385" s="274">
        <v>11.81</v>
      </c>
    </row>
    <row r="386" spans="2:4" x14ac:dyDescent="0.2">
      <c r="B386" s="473" t="s">
        <v>1343</v>
      </c>
      <c r="C386" s="475">
        <v>35</v>
      </c>
      <c r="D386" s="274">
        <v>19.309999999999999</v>
      </c>
    </row>
    <row r="387" spans="2:4" x14ac:dyDescent="0.2">
      <c r="B387" s="473" t="s">
        <v>1344</v>
      </c>
      <c r="C387" s="475">
        <v>35</v>
      </c>
      <c r="D387" s="274">
        <v>38.06</v>
      </c>
    </row>
    <row r="388" spans="2:4" x14ac:dyDescent="0.2">
      <c r="B388" s="473" t="s">
        <v>1345</v>
      </c>
      <c r="C388" s="475">
        <v>35</v>
      </c>
      <c r="D388" s="274">
        <v>56.81</v>
      </c>
    </row>
    <row r="389" spans="2:4" x14ac:dyDescent="0.2">
      <c r="B389" s="473" t="s">
        <v>1346</v>
      </c>
      <c r="C389" s="475">
        <v>35</v>
      </c>
      <c r="D389" s="274">
        <v>75.56</v>
      </c>
    </row>
    <row r="390" spans="2:4" x14ac:dyDescent="0.2">
      <c r="B390" s="473" t="s">
        <v>1347</v>
      </c>
      <c r="C390" s="475">
        <v>35</v>
      </c>
      <c r="D390" s="274">
        <v>113.07</v>
      </c>
    </row>
    <row r="391" spans="2:4" x14ac:dyDescent="0.2">
      <c r="B391" s="473" t="s">
        <v>1348</v>
      </c>
      <c r="C391" s="475">
        <v>35</v>
      </c>
      <c r="D391" s="274">
        <v>150.57</v>
      </c>
    </row>
    <row r="392" spans="2:4" x14ac:dyDescent="0.2">
      <c r="B392" s="473" t="s">
        <v>1349</v>
      </c>
      <c r="C392" s="475">
        <v>35</v>
      </c>
      <c r="D392" s="274">
        <v>225.57</v>
      </c>
    </row>
    <row r="393" spans="2:4" x14ac:dyDescent="0.2">
      <c r="B393" s="473" t="s">
        <v>1350</v>
      </c>
      <c r="C393" s="475">
        <v>33</v>
      </c>
      <c r="D393" s="274">
        <v>9.9499999999999993</v>
      </c>
    </row>
    <row r="394" spans="2:4" x14ac:dyDescent="0.2">
      <c r="B394" s="473" t="s">
        <v>1351</v>
      </c>
      <c r="C394" s="475">
        <v>33</v>
      </c>
      <c r="D394" s="274">
        <v>12.75</v>
      </c>
    </row>
    <row r="395" spans="2:4" x14ac:dyDescent="0.2">
      <c r="B395" s="473" t="s">
        <v>1352</v>
      </c>
      <c r="C395" s="475">
        <v>34.999999999999922</v>
      </c>
      <c r="D395" s="274">
        <v>19.5</v>
      </c>
    </row>
    <row r="396" spans="2:4" x14ac:dyDescent="0.2">
      <c r="B396" s="473" t="s">
        <v>1353</v>
      </c>
      <c r="C396" s="475">
        <v>35</v>
      </c>
      <c r="D396" s="274">
        <v>27</v>
      </c>
    </row>
    <row r="397" spans="2:4" x14ac:dyDescent="0.2">
      <c r="B397" s="473" t="s">
        <v>1354</v>
      </c>
      <c r="C397" s="475">
        <v>35</v>
      </c>
      <c r="D397" s="274">
        <v>47.5</v>
      </c>
    </row>
    <row r="398" spans="2:4" x14ac:dyDescent="0.2">
      <c r="B398" s="473" t="s">
        <v>1355</v>
      </c>
      <c r="C398" s="475">
        <v>34.000000000000028</v>
      </c>
      <c r="D398" s="274">
        <v>34.5</v>
      </c>
    </row>
    <row r="399" spans="2:4" x14ac:dyDescent="0.2">
      <c r="B399" s="473" t="s">
        <v>1356</v>
      </c>
      <c r="C399" s="475">
        <v>34.000000000000028</v>
      </c>
      <c r="D399" s="274">
        <v>45.5</v>
      </c>
    </row>
    <row r="400" spans="2:4" x14ac:dyDescent="0.2">
      <c r="B400" s="473" t="s">
        <v>1357</v>
      </c>
      <c r="C400" s="475">
        <v>34.000000000000028</v>
      </c>
      <c r="D400" s="274">
        <v>56.75</v>
      </c>
    </row>
    <row r="401" spans="2:4" x14ac:dyDescent="0.2">
      <c r="B401" s="473" t="s">
        <v>1358</v>
      </c>
      <c r="C401" s="475">
        <v>35</v>
      </c>
      <c r="D401" s="274">
        <v>66.5</v>
      </c>
    </row>
    <row r="402" spans="2:4" x14ac:dyDescent="0.2">
      <c r="B402" s="473" t="s">
        <v>1359</v>
      </c>
      <c r="C402" s="475">
        <v>34.000000000000028</v>
      </c>
      <c r="D402" s="274">
        <v>73.5</v>
      </c>
    </row>
    <row r="403" spans="2:4" x14ac:dyDescent="0.2">
      <c r="B403" s="473" t="s">
        <v>1360</v>
      </c>
      <c r="C403" s="475">
        <v>35</v>
      </c>
      <c r="D403" s="274">
        <v>150.5</v>
      </c>
    </row>
    <row r="404" spans="2:4" x14ac:dyDescent="0.2">
      <c r="B404" s="473" t="s">
        <v>1361</v>
      </c>
      <c r="C404" s="475">
        <v>34.000000000000028</v>
      </c>
      <c r="D404" s="274">
        <v>17.5</v>
      </c>
    </row>
    <row r="405" spans="2:4" x14ac:dyDescent="0.2">
      <c r="B405" s="473" t="s">
        <v>1362</v>
      </c>
      <c r="C405" s="475">
        <v>33</v>
      </c>
      <c r="D405" s="274">
        <v>113.5</v>
      </c>
    </row>
    <row r="407" spans="2:4" x14ac:dyDescent="0.2">
      <c r="B407" s="472" t="s">
        <v>134</v>
      </c>
      <c r="C407" s="249" t="s">
        <v>105</v>
      </c>
      <c r="D407" s="274" t="s">
        <v>106</v>
      </c>
    </row>
    <row r="408" spans="2:4" x14ac:dyDescent="0.2">
      <c r="B408" s="476" t="s">
        <v>135</v>
      </c>
    </row>
    <row r="409" spans="2:4" x14ac:dyDescent="0.2">
      <c r="B409" s="473" t="s">
        <v>1363</v>
      </c>
      <c r="C409" s="475">
        <v>33</v>
      </c>
      <c r="D409" s="274">
        <v>17.399999999999999</v>
      </c>
    </row>
    <row r="410" spans="2:4" x14ac:dyDescent="0.2">
      <c r="B410" s="473" t="s">
        <v>1364</v>
      </c>
      <c r="C410" s="475">
        <v>36</v>
      </c>
      <c r="D410" s="274">
        <v>20</v>
      </c>
    </row>
    <row r="411" spans="2:4" x14ac:dyDescent="0.2">
      <c r="B411" s="473" t="s">
        <v>1365</v>
      </c>
      <c r="C411" s="475">
        <v>36.000000000000028</v>
      </c>
      <c r="D411" s="274">
        <v>19</v>
      </c>
    </row>
    <row r="412" spans="2:4" x14ac:dyDescent="0.2">
      <c r="B412" s="473" t="s">
        <v>1366</v>
      </c>
      <c r="C412" s="475">
        <v>36.000000000000028</v>
      </c>
      <c r="D412" s="274">
        <v>19</v>
      </c>
    </row>
    <row r="413" spans="2:4" x14ac:dyDescent="0.2">
      <c r="B413" s="473" t="s">
        <v>1367</v>
      </c>
      <c r="C413" s="475">
        <v>36.000000000000028</v>
      </c>
      <c r="D413" s="274">
        <v>26.8</v>
      </c>
    </row>
    <row r="414" spans="2:4" x14ac:dyDescent="0.2">
      <c r="B414" s="473" t="s">
        <v>1595</v>
      </c>
      <c r="C414" s="475">
        <v>36</v>
      </c>
      <c r="D414" s="274">
        <v>150</v>
      </c>
    </row>
    <row r="415" spans="2:4" x14ac:dyDescent="0.2">
      <c r="B415" s="476" t="s">
        <v>136</v>
      </c>
    </row>
    <row r="416" spans="2:4" x14ac:dyDescent="0.2">
      <c r="B416" s="473" t="s">
        <v>1368</v>
      </c>
      <c r="C416" s="475">
        <v>34.000000000000028</v>
      </c>
      <c r="D416" s="274">
        <v>28</v>
      </c>
    </row>
    <row r="417" spans="2:4" x14ac:dyDescent="0.2">
      <c r="B417" s="473" t="s">
        <v>1369</v>
      </c>
      <c r="C417" s="475">
        <v>36.000000000000028</v>
      </c>
      <c r="D417" s="274">
        <v>19.299999999999997</v>
      </c>
    </row>
    <row r="418" spans="2:4" x14ac:dyDescent="0.2">
      <c r="B418" s="473" t="s">
        <v>1370</v>
      </c>
      <c r="C418" s="475">
        <v>36</v>
      </c>
      <c r="D418" s="274">
        <v>17</v>
      </c>
    </row>
    <row r="419" spans="2:4" x14ac:dyDescent="0.2">
      <c r="B419" s="473" t="s">
        <v>1371</v>
      </c>
      <c r="C419" s="475">
        <v>36.000000000000028</v>
      </c>
      <c r="D419" s="274">
        <v>4</v>
      </c>
    </row>
    <row r="420" spans="2:4" x14ac:dyDescent="0.2">
      <c r="B420" s="473" t="s">
        <v>1372</v>
      </c>
      <c r="C420" s="475">
        <v>36.000000000000028</v>
      </c>
      <c r="D420" s="274">
        <v>23</v>
      </c>
    </row>
    <row r="421" spans="2:4" x14ac:dyDescent="0.2">
      <c r="B421" s="473" t="s">
        <v>1373</v>
      </c>
      <c r="C421" s="475">
        <v>33</v>
      </c>
      <c r="D421" s="274">
        <v>12</v>
      </c>
    </row>
    <row r="422" spans="2:4" x14ac:dyDescent="0.2">
      <c r="B422" s="473" t="s">
        <v>1374</v>
      </c>
      <c r="C422" s="475">
        <v>36.000000000000028</v>
      </c>
      <c r="D422" s="274">
        <v>19.3</v>
      </c>
    </row>
    <row r="423" spans="2:4" x14ac:dyDescent="0.2">
      <c r="B423" s="473" t="s">
        <v>1596</v>
      </c>
      <c r="C423" s="475">
        <v>36</v>
      </c>
      <c r="D423" s="274">
        <v>32.5</v>
      </c>
    </row>
    <row r="424" spans="2:4" x14ac:dyDescent="0.2">
      <c r="B424" s="473" t="s">
        <v>1597</v>
      </c>
      <c r="C424" s="475">
        <v>36</v>
      </c>
      <c r="D424" s="274">
        <v>31</v>
      </c>
    </row>
    <row r="425" spans="2:4" x14ac:dyDescent="0.2">
      <c r="B425" s="473" t="s">
        <v>1375</v>
      </c>
      <c r="C425" s="475">
        <v>36</v>
      </c>
      <c r="D425" s="274">
        <v>19.309999999999999</v>
      </c>
    </row>
    <row r="426" spans="2:4" x14ac:dyDescent="0.2">
      <c r="B426" s="476" t="s">
        <v>137</v>
      </c>
    </row>
    <row r="427" spans="2:4" x14ac:dyDescent="0.2">
      <c r="B427" s="473" t="s">
        <v>1376</v>
      </c>
      <c r="C427" s="249">
        <v>37</v>
      </c>
      <c r="D427" s="274">
        <v>27</v>
      </c>
    </row>
    <row r="428" spans="2:4" x14ac:dyDescent="0.2">
      <c r="B428" s="473" t="s">
        <v>1377</v>
      </c>
      <c r="C428" s="249">
        <v>37</v>
      </c>
      <c r="D428" s="274">
        <v>19.5</v>
      </c>
    </row>
    <row r="429" spans="2:4" x14ac:dyDescent="0.2">
      <c r="B429" s="473" t="s">
        <v>1378</v>
      </c>
      <c r="C429" s="475">
        <v>33</v>
      </c>
      <c r="D429" s="274">
        <v>15.55</v>
      </c>
    </row>
    <row r="430" spans="2:4" x14ac:dyDescent="0.2">
      <c r="B430" s="473" t="s">
        <v>1379</v>
      </c>
      <c r="C430" s="475">
        <v>33</v>
      </c>
      <c r="D430" s="274">
        <v>30.549999999999997</v>
      </c>
    </row>
    <row r="431" spans="2:4" x14ac:dyDescent="0.2">
      <c r="B431" s="473" t="s">
        <v>1380</v>
      </c>
      <c r="C431" s="475">
        <v>37</v>
      </c>
      <c r="D431" s="274">
        <v>30</v>
      </c>
    </row>
    <row r="432" spans="2:4" x14ac:dyDescent="0.2">
      <c r="B432" s="474" t="s">
        <v>1628</v>
      </c>
      <c r="C432" s="475">
        <v>37</v>
      </c>
      <c r="D432" s="274">
        <v>7.5</v>
      </c>
    </row>
    <row r="433" spans="2:4" x14ac:dyDescent="0.2">
      <c r="B433" s="473" t="s">
        <v>1381</v>
      </c>
      <c r="C433" s="475">
        <v>37</v>
      </c>
      <c r="D433" s="274">
        <v>27</v>
      </c>
    </row>
    <row r="434" spans="2:4" x14ac:dyDescent="0.2">
      <c r="B434" s="476" t="s">
        <v>138</v>
      </c>
      <c r="C434" s="475"/>
    </row>
    <row r="435" spans="2:4" x14ac:dyDescent="0.2">
      <c r="B435" s="473" t="s">
        <v>1382</v>
      </c>
      <c r="C435" s="475">
        <v>35</v>
      </c>
      <c r="D435" s="274">
        <v>12</v>
      </c>
    </row>
    <row r="436" spans="2:4" x14ac:dyDescent="0.2">
      <c r="B436" s="473" t="s">
        <v>1383</v>
      </c>
      <c r="C436" s="475">
        <v>35</v>
      </c>
      <c r="D436" s="274">
        <v>52</v>
      </c>
    </row>
    <row r="437" spans="2:4" x14ac:dyDescent="0.2">
      <c r="B437" s="473" t="s">
        <v>1384</v>
      </c>
      <c r="C437" s="475">
        <v>33</v>
      </c>
      <c r="D437" s="274">
        <v>40</v>
      </c>
    </row>
    <row r="438" spans="2:4" x14ac:dyDescent="0.2">
      <c r="B438" s="473" t="s">
        <v>1385</v>
      </c>
      <c r="C438" s="475">
        <v>36.000000000000028</v>
      </c>
      <c r="D438" s="274">
        <v>37.900000000000006</v>
      </c>
    </row>
    <row r="439" spans="2:4" x14ac:dyDescent="0.2">
      <c r="B439" s="473" t="s">
        <v>1386</v>
      </c>
      <c r="C439" s="475">
        <v>35</v>
      </c>
      <c r="D439" s="274">
        <v>29</v>
      </c>
    </row>
    <row r="440" spans="2:4" x14ac:dyDescent="0.2">
      <c r="B440" s="473" t="s">
        <v>1387</v>
      </c>
      <c r="C440" s="475">
        <v>35</v>
      </c>
      <c r="D440" s="274">
        <v>25.25</v>
      </c>
    </row>
    <row r="441" spans="2:4" x14ac:dyDescent="0.2">
      <c r="B441" s="473" t="s">
        <v>1388</v>
      </c>
      <c r="C441" s="475">
        <v>35</v>
      </c>
      <c r="D441" s="274">
        <v>27.2</v>
      </c>
    </row>
    <row r="442" spans="2:4" x14ac:dyDescent="0.2">
      <c r="B442" s="473" t="s">
        <v>1598</v>
      </c>
      <c r="C442" s="475">
        <v>35</v>
      </c>
      <c r="D442" s="274">
        <v>19</v>
      </c>
    </row>
    <row r="443" spans="2:4" x14ac:dyDescent="0.2">
      <c r="B443" s="473" t="s">
        <v>1389</v>
      </c>
      <c r="C443" s="475">
        <v>35</v>
      </c>
      <c r="D443" s="274">
        <v>43</v>
      </c>
    </row>
    <row r="444" spans="2:4" x14ac:dyDescent="0.2">
      <c r="B444" s="473" t="s">
        <v>1390</v>
      </c>
      <c r="C444" s="475">
        <v>36.000000000000028</v>
      </c>
      <c r="D444" s="274">
        <v>38</v>
      </c>
    </row>
    <row r="445" spans="2:4" x14ac:dyDescent="0.2">
      <c r="B445" s="476" t="s">
        <v>139</v>
      </c>
      <c r="C445" s="475"/>
    </row>
    <row r="446" spans="2:4" x14ac:dyDescent="0.2">
      <c r="B446" s="473" t="s">
        <v>1391</v>
      </c>
      <c r="C446" s="475">
        <v>34.000000000000028</v>
      </c>
      <c r="D446" s="274">
        <v>55</v>
      </c>
    </row>
    <row r="447" spans="2:4" x14ac:dyDescent="0.2">
      <c r="B447" s="473" t="s">
        <v>1392</v>
      </c>
      <c r="C447" s="475">
        <v>32</v>
      </c>
      <c r="D447" s="274">
        <v>60</v>
      </c>
    </row>
    <row r="448" spans="2:4" x14ac:dyDescent="0.2">
      <c r="B448" s="473" t="s">
        <v>1393</v>
      </c>
      <c r="C448" s="475">
        <v>32.000000000000028</v>
      </c>
      <c r="D448" s="274">
        <v>52.5</v>
      </c>
    </row>
    <row r="449" spans="2:4" x14ac:dyDescent="0.2">
      <c r="B449" s="473" t="s">
        <v>1394</v>
      </c>
      <c r="C449" s="475">
        <v>36.000000000000028</v>
      </c>
      <c r="D449" s="274">
        <v>57</v>
      </c>
    </row>
    <row r="450" spans="2:4" x14ac:dyDescent="0.2">
      <c r="B450" s="473" t="s">
        <v>1589</v>
      </c>
      <c r="C450" s="475">
        <v>36</v>
      </c>
      <c r="D450" s="274">
        <v>112.5</v>
      </c>
    </row>
    <row r="451" spans="2:4" x14ac:dyDescent="0.2">
      <c r="B451" s="473" t="s">
        <v>1395</v>
      </c>
      <c r="C451" s="475">
        <v>32.000000000000028</v>
      </c>
      <c r="D451" s="274">
        <v>71</v>
      </c>
    </row>
    <row r="452" spans="2:4" x14ac:dyDescent="0.2">
      <c r="C452" s="475"/>
    </row>
    <row r="453" spans="2:4" x14ac:dyDescent="0.2">
      <c r="B453" s="472" t="s">
        <v>140</v>
      </c>
      <c r="C453" s="249" t="s">
        <v>105</v>
      </c>
      <c r="D453" s="274" t="s">
        <v>106</v>
      </c>
    </row>
    <row r="454" spans="2:4" x14ac:dyDescent="0.2">
      <c r="B454" s="476" t="s">
        <v>141</v>
      </c>
      <c r="C454" s="475"/>
    </row>
    <row r="455" spans="2:4" x14ac:dyDescent="0.2">
      <c r="B455" s="473" t="s">
        <v>1285</v>
      </c>
      <c r="C455" s="475">
        <v>34.000000000000028</v>
      </c>
      <c r="D455" s="274">
        <v>177</v>
      </c>
    </row>
    <row r="456" spans="2:4" x14ac:dyDescent="0.2">
      <c r="B456" s="473" t="s">
        <v>1396</v>
      </c>
      <c r="C456" s="475">
        <v>25</v>
      </c>
      <c r="D456" s="274">
        <v>188.13</v>
      </c>
    </row>
    <row r="457" spans="2:4" x14ac:dyDescent="0.2">
      <c r="B457" s="473" t="s">
        <v>1397</v>
      </c>
      <c r="C457" s="475">
        <v>34.000000000000028</v>
      </c>
      <c r="D457" s="274">
        <v>185</v>
      </c>
    </row>
    <row r="458" spans="2:4" x14ac:dyDescent="0.2">
      <c r="B458" s="474" t="s">
        <v>1398</v>
      </c>
      <c r="C458" s="475">
        <v>32.000000000000028</v>
      </c>
      <c r="D458" s="274">
        <v>115</v>
      </c>
    </row>
    <row r="459" spans="2:4" x14ac:dyDescent="0.2">
      <c r="B459" s="474" t="s">
        <v>1399</v>
      </c>
      <c r="C459" s="475">
        <v>34.000000000000028</v>
      </c>
      <c r="D459" s="274">
        <v>230</v>
      </c>
    </row>
    <row r="460" spans="2:4" x14ac:dyDescent="0.2">
      <c r="B460" s="473" t="s">
        <v>1400</v>
      </c>
      <c r="C460" s="475">
        <v>32.000000000000028</v>
      </c>
      <c r="D460" s="274">
        <v>225.6</v>
      </c>
    </row>
    <row r="461" spans="2:4" x14ac:dyDescent="0.2">
      <c r="B461" s="473" t="s">
        <v>1401</v>
      </c>
      <c r="C461" s="475">
        <v>34</v>
      </c>
      <c r="D461" s="274">
        <v>310</v>
      </c>
    </row>
    <row r="462" spans="2:4" x14ac:dyDescent="0.2">
      <c r="B462" s="473" t="s">
        <v>1402</v>
      </c>
      <c r="C462" s="475">
        <v>34</v>
      </c>
      <c r="D462" s="274">
        <v>500</v>
      </c>
    </row>
    <row r="463" spans="2:4" x14ac:dyDescent="0.2">
      <c r="B463" s="473" t="s">
        <v>1403</v>
      </c>
      <c r="C463" s="475">
        <v>34</v>
      </c>
      <c r="D463" s="274">
        <v>340</v>
      </c>
    </row>
    <row r="464" spans="2:4" x14ac:dyDescent="0.2">
      <c r="B464" s="473" t="s">
        <v>1404</v>
      </c>
      <c r="C464" s="475">
        <v>34.000000000000028</v>
      </c>
      <c r="D464" s="274">
        <v>350</v>
      </c>
    </row>
    <row r="465" spans="2:4" x14ac:dyDescent="0.2">
      <c r="B465" s="473" t="s">
        <v>1405</v>
      </c>
      <c r="C465" s="475">
        <v>34.000000000000028</v>
      </c>
      <c r="D465" s="274">
        <v>420</v>
      </c>
    </row>
    <row r="466" spans="2:4" x14ac:dyDescent="0.2">
      <c r="B466" s="473" t="s">
        <v>1406</v>
      </c>
      <c r="C466" s="475">
        <v>34.000000000000028</v>
      </c>
      <c r="D466" s="274">
        <v>338.13</v>
      </c>
    </row>
    <row r="467" spans="2:4" x14ac:dyDescent="0.2">
      <c r="B467" s="473" t="s">
        <v>1407</v>
      </c>
      <c r="C467" s="475">
        <v>34.000000000000028</v>
      </c>
      <c r="D467" s="274">
        <v>225</v>
      </c>
    </row>
    <row r="468" spans="2:4" x14ac:dyDescent="0.2">
      <c r="B468" s="473" t="s">
        <v>1408</v>
      </c>
      <c r="C468" s="475">
        <v>34.000000000000028</v>
      </c>
      <c r="D468" s="274">
        <v>380</v>
      </c>
    </row>
    <row r="469" spans="2:4" x14ac:dyDescent="0.2">
      <c r="B469" s="473" t="s">
        <v>1409</v>
      </c>
      <c r="C469" s="475">
        <v>34.000000000000028</v>
      </c>
      <c r="D469" s="274">
        <v>335</v>
      </c>
    </row>
    <row r="470" spans="2:4" x14ac:dyDescent="0.2">
      <c r="B470" s="473" t="s">
        <v>1410</v>
      </c>
      <c r="C470" s="475">
        <v>34.000000000000028</v>
      </c>
      <c r="D470" s="274">
        <v>340</v>
      </c>
    </row>
    <row r="471" spans="2:4" x14ac:dyDescent="0.2">
      <c r="B471" s="473" t="s">
        <v>1411</v>
      </c>
      <c r="C471" s="475">
        <v>34.000000000000028</v>
      </c>
      <c r="D471" s="274">
        <v>405.5</v>
      </c>
    </row>
    <row r="472" spans="2:4" x14ac:dyDescent="0.2">
      <c r="B472" s="473" t="s">
        <v>1412</v>
      </c>
      <c r="C472" s="475">
        <v>34.000000000000028</v>
      </c>
      <c r="D472" s="274">
        <v>175.3</v>
      </c>
    </row>
    <row r="473" spans="2:4" x14ac:dyDescent="0.2">
      <c r="B473" s="474" t="s">
        <v>1413</v>
      </c>
      <c r="C473" s="475">
        <v>34.000000000000028</v>
      </c>
      <c r="D473" s="274">
        <v>350</v>
      </c>
    </row>
    <row r="474" spans="2:4" x14ac:dyDescent="0.2">
      <c r="B474" s="474" t="s">
        <v>1414</v>
      </c>
      <c r="C474" s="475">
        <v>34.000000000000028</v>
      </c>
      <c r="D474" s="274">
        <v>450</v>
      </c>
    </row>
    <row r="475" spans="2:4" x14ac:dyDescent="0.2">
      <c r="B475" s="473" t="s">
        <v>1415</v>
      </c>
      <c r="C475" s="475">
        <v>34.000000000000028</v>
      </c>
      <c r="D475" s="274">
        <v>488.1</v>
      </c>
    </row>
    <row r="476" spans="2:4" x14ac:dyDescent="0.2">
      <c r="B476" s="473" t="s">
        <v>1599</v>
      </c>
      <c r="C476" s="475">
        <v>34</v>
      </c>
      <c r="D476" s="274">
        <v>215</v>
      </c>
    </row>
    <row r="477" spans="2:4" x14ac:dyDescent="0.2">
      <c r="B477" s="473" t="s">
        <v>1600</v>
      </c>
      <c r="C477" s="475">
        <v>34.000000000000028</v>
      </c>
      <c r="D477" s="274">
        <v>337.5</v>
      </c>
    </row>
    <row r="478" spans="2:4" x14ac:dyDescent="0.2">
      <c r="B478" s="473" t="s">
        <v>1601</v>
      </c>
      <c r="C478" s="475">
        <v>34.000000000000028</v>
      </c>
      <c r="D478" s="274">
        <v>337.5</v>
      </c>
    </row>
    <row r="479" spans="2:4" x14ac:dyDescent="0.2">
      <c r="B479" s="473" t="s">
        <v>1602</v>
      </c>
      <c r="C479" s="475">
        <v>34.000000000000028</v>
      </c>
      <c r="D479" s="274">
        <v>150</v>
      </c>
    </row>
    <row r="480" spans="2:4" x14ac:dyDescent="0.2">
      <c r="B480" s="473" t="s">
        <v>1603</v>
      </c>
      <c r="C480" s="475">
        <v>34.000000000000028</v>
      </c>
      <c r="D480" s="274">
        <v>245</v>
      </c>
    </row>
    <row r="481" spans="2:4" x14ac:dyDescent="0.2">
      <c r="B481" s="473" t="s">
        <v>1416</v>
      </c>
      <c r="C481" s="475">
        <v>34.000000000000028</v>
      </c>
      <c r="D481" s="274">
        <v>230</v>
      </c>
    </row>
    <row r="482" spans="2:4" x14ac:dyDescent="0.2">
      <c r="B482" s="473" t="s">
        <v>1417</v>
      </c>
      <c r="C482" s="475">
        <v>34.000000000000028</v>
      </c>
      <c r="D482" s="274">
        <v>420</v>
      </c>
    </row>
    <row r="483" spans="2:4" x14ac:dyDescent="0.2">
      <c r="B483" s="473" t="s">
        <v>1418</v>
      </c>
      <c r="C483" s="475">
        <v>34.000000000000028</v>
      </c>
      <c r="D483" s="274">
        <v>150.57</v>
      </c>
    </row>
    <row r="484" spans="2:4" x14ac:dyDescent="0.2">
      <c r="B484" s="473" t="s">
        <v>1419</v>
      </c>
      <c r="C484" s="475">
        <v>34.000000000000028</v>
      </c>
      <c r="D484" s="274">
        <v>338.08</v>
      </c>
    </row>
    <row r="485" spans="2:4" x14ac:dyDescent="0.2">
      <c r="B485" s="476" t="s">
        <v>142</v>
      </c>
      <c r="C485" s="475"/>
    </row>
    <row r="486" spans="2:4" x14ac:dyDescent="0.2">
      <c r="B486" s="476" t="s">
        <v>1420</v>
      </c>
      <c r="C486" s="475">
        <v>25</v>
      </c>
      <c r="D486" s="274">
        <v>600</v>
      </c>
    </row>
    <row r="487" spans="2:4" x14ac:dyDescent="0.2">
      <c r="B487" s="473" t="s">
        <v>1421</v>
      </c>
      <c r="C487" s="475">
        <v>25</v>
      </c>
      <c r="D487" s="274">
        <v>432.5</v>
      </c>
    </row>
    <row r="488" spans="2:4" x14ac:dyDescent="0.2">
      <c r="B488" s="473" t="s">
        <v>1422</v>
      </c>
      <c r="C488" s="475">
        <v>25</v>
      </c>
      <c r="D488" s="274">
        <v>509.5</v>
      </c>
    </row>
    <row r="489" spans="2:4" x14ac:dyDescent="0.2">
      <c r="B489" s="473" t="s">
        <v>1423</v>
      </c>
      <c r="C489" s="475">
        <v>25</v>
      </c>
      <c r="D489" s="274">
        <v>500</v>
      </c>
    </row>
    <row r="490" spans="2:4" x14ac:dyDescent="0.2">
      <c r="B490" s="473" t="s">
        <v>1424</v>
      </c>
      <c r="C490" s="475">
        <v>25</v>
      </c>
      <c r="D490" s="274">
        <v>500</v>
      </c>
    </row>
    <row r="491" spans="2:4" x14ac:dyDescent="0.2">
      <c r="B491" s="473" t="s">
        <v>1425</v>
      </c>
      <c r="C491" s="475">
        <v>25</v>
      </c>
      <c r="D491" s="274">
        <v>500</v>
      </c>
    </row>
    <row r="492" spans="2:4" x14ac:dyDescent="0.2">
      <c r="B492" s="473" t="s">
        <v>1426</v>
      </c>
      <c r="C492" s="475">
        <v>25</v>
      </c>
      <c r="D492" s="274">
        <v>497.46499999999997</v>
      </c>
    </row>
    <row r="493" spans="2:4" x14ac:dyDescent="0.2">
      <c r="B493" s="473" t="s">
        <v>1427</v>
      </c>
      <c r="C493" s="475">
        <v>25</v>
      </c>
      <c r="D493" s="274">
        <v>500</v>
      </c>
    </row>
    <row r="494" spans="2:4" x14ac:dyDescent="0.2">
      <c r="B494" s="473" t="s">
        <v>1428</v>
      </c>
      <c r="C494" s="475">
        <v>25</v>
      </c>
      <c r="D494" s="274">
        <v>485</v>
      </c>
    </row>
    <row r="495" spans="2:4" x14ac:dyDescent="0.2">
      <c r="B495" s="473" t="s">
        <v>1429</v>
      </c>
      <c r="C495" s="475">
        <v>25</v>
      </c>
      <c r="D495" s="274">
        <v>555</v>
      </c>
    </row>
    <row r="496" spans="2:4" x14ac:dyDescent="0.2">
      <c r="B496" s="473" t="s">
        <v>1430</v>
      </c>
      <c r="C496" s="475">
        <v>25</v>
      </c>
      <c r="D496" s="274">
        <v>713.1</v>
      </c>
    </row>
    <row r="497" spans="2:4" x14ac:dyDescent="0.2">
      <c r="B497" s="473" t="s">
        <v>1604</v>
      </c>
      <c r="C497" s="475">
        <v>25</v>
      </c>
      <c r="D497" s="274">
        <v>422.5</v>
      </c>
    </row>
    <row r="498" spans="2:4" x14ac:dyDescent="0.2">
      <c r="B498" s="473" t="s">
        <v>1605</v>
      </c>
      <c r="C498" s="475">
        <v>25</v>
      </c>
      <c r="D498" s="274">
        <v>500</v>
      </c>
    </row>
    <row r="499" spans="2:4" x14ac:dyDescent="0.2">
      <c r="B499" s="473" t="s">
        <v>1606</v>
      </c>
      <c r="C499" s="475">
        <v>25</v>
      </c>
      <c r="D499" s="274">
        <v>422.5</v>
      </c>
    </row>
    <row r="500" spans="2:4" x14ac:dyDescent="0.2">
      <c r="B500" s="473" t="s">
        <v>1431</v>
      </c>
      <c r="C500" s="475">
        <v>25</v>
      </c>
      <c r="D500" s="274">
        <v>545</v>
      </c>
    </row>
    <row r="501" spans="2:4" x14ac:dyDescent="0.2">
      <c r="B501" s="473" t="s">
        <v>1432</v>
      </c>
      <c r="C501" s="475">
        <v>25</v>
      </c>
      <c r="D501" s="274">
        <v>338.08</v>
      </c>
    </row>
    <row r="502" spans="2:4" x14ac:dyDescent="0.2">
      <c r="B502" s="473" t="s">
        <v>1433</v>
      </c>
      <c r="C502" s="475">
        <v>25</v>
      </c>
      <c r="D502" s="274">
        <v>525.59</v>
      </c>
    </row>
    <row r="503" spans="2:4" x14ac:dyDescent="0.2">
      <c r="B503" s="476" t="s">
        <v>143</v>
      </c>
      <c r="C503" s="475"/>
    </row>
    <row r="504" spans="2:4" x14ac:dyDescent="0.2">
      <c r="B504" s="476" t="s">
        <v>1434</v>
      </c>
      <c r="C504" s="475">
        <v>25</v>
      </c>
      <c r="D504" s="274">
        <v>600</v>
      </c>
    </row>
    <row r="505" spans="2:4" x14ac:dyDescent="0.2">
      <c r="B505" s="473" t="s">
        <v>1435</v>
      </c>
      <c r="C505" s="475">
        <v>25</v>
      </c>
      <c r="D505" s="274">
        <v>490</v>
      </c>
    </row>
    <row r="506" spans="2:4" x14ac:dyDescent="0.2">
      <c r="B506" s="473" t="s">
        <v>1436</v>
      </c>
      <c r="C506" s="475">
        <v>25</v>
      </c>
      <c r="D506" s="274">
        <v>300</v>
      </c>
    </row>
    <row r="507" spans="2:4" x14ac:dyDescent="0.2">
      <c r="B507" s="473" t="s">
        <v>1437</v>
      </c>
      <c r="C507" s="475">
        <v>25</v>
      </c>
      <c r="D507" s="274">
        <v>451.13</v>
      </c>
    </row>
    <row r="508" spans="2:4" x14ac:dyDescent="0.2">
      <c r="B508" s="473" t="s">
        <v>1438</v>
      </c>
      <c r="C508" s="475">
        <v>25</v>
      </c>
      <c r="D508" s="274">
        <v>500</v>
      </c>
    </row>
    <row r="509" spans="2:4" x14ac:dyDescent="0.2">
      <c r="B509" s="473" t="s">
        <v>1439</v>
      </c>
      <c r="C509" s="475">
        <v>25</v>
      </c>
      <c r="D509" s="274">
        <v>530</v>
      </c>
    </row>
    <row r="510" spans="2:4" x14ac:dyDescent="0.2">
      <c r="B510" s="473" t="s">
        <v>1440</v>
      </c>
      <c r="C510" s="475">
        <v>25</v>
      </c>
      <c r="D510" s="274">
        <v>525</v>
      </c>
    </row>
    <row r="511" spans="2:4" x14ac:dyDescent="0.2">
      <c r="B511" s="473" t="s">
        <v>1441</v>
      </c>
      <c r="C511" s="475">
        <v>25</v>
      </c>
      <c r="D511" s="274">
        <v>713.1</v>
      </c>
    </row>
    <row r="512" spans="2:4" x14ac:dyDescent="0.2">
      <c r="B512" s="473" t="s">
        <v>1607</v>
      </c>
      <c r="C512" s="475">
        <v>25</v>
      </c>
      <c r="D512" s="274">
        <v>422.5</v>
      </c>
    </row>
    <row r="513" spans="2:4" x14ac:dyDescent="0.2">
      <c r="B513" s="473" t="s">
        <v>1442</v>
      </c>
      <c r="C513" s="475">
        <v>25</v>
      </c>
      <c r="D513" s="274">
        <v>545</v>
      </c>
    </row>
    <row r="514" spans="2:4" x14ac:dyDescent="0.2">
      <c r="B514" s="473" t="s">
        <v>1443</v>
      </c>
      <c r="C514" s="475">
        <v>25</v>
      </c>
      <c r="D514" s="274">
        <v>394.33</v>
      </c>
    </row>
    <row r="515" spans="2:4" x14ac:dyDescent="0.2">
      <c r="B515" s="473" t="s">
        <v>1444</v>
      </c>
      <c r="C515" s="475">
        <v>25</v>
      </c>
      <c r="D515" s="274">
        <v>412.5</v>
      </c>
    </row>
    <row r="516" spans="2:4" x14ac:dyDescent="0.2">
      <c r="B516" s="473" t="s">
        <v>1445</v>
      </c>
      <c r="C516" s="475">
        <v>32.000000000000028</v>
      </c>
      <c r="D516" s="274">
        <v>337.5</v>
      </c>
    </row>
    <row r="517" spans="2:4" x14ac:dyDescent="0.2">
      <c r="B517" s="473" t="s">
        <v>1446</v>
      </c>
      <c r="C517" s="475">
        <v>32.000000000000028</v>
      </c>
      <c r="D517" s="274">
        <v>431.5</v>
      </c>
    </row>
    <row r="518" spans="2:4" x14ac:dyDescent="0.2">
      <c r="B518" s="473" t="s">
        <v>1447</v>
      </c>
      <c r="C518" s="475">
        <v>32.000000000000028</v>
      </c>
      <c r="D518" s="274">
        <v>525.5</v>
      </c>
    </row>
    <row r="519" spans="2:4" x14ac:dyDescent="0.2">
      <c r="B519" s="476" t="s">
        <v>144</v>
      </c>
      <c r="C519" s="475"/>
    </row>
    <row r="520" spans="2:4" x14ac:dyDescent="0.2">
      <c r="B520" s="473" t="s">
        <v>1448</v>
      </c>
      <c r="C520" s="475">
        <v>32.000000000000028</v>
      </c>
      <c r="D520" s="274">
        <v>337.5</v>
      </c>
    </row>
    <row r="521" spans="2:4" x14ac:dyDescent="0.2">
      <c r="B521" s="473" t="s">
        <v>1449</v>
      </c>
      <c r="C521" s="475">
        <v>32.000000000000028</v>
      </c>
      <c r="D521" s="274">
        <v>431.5</v>
      </c>
    </row>
    <row r="522" spans="2:4" x14ac:dyDescent="0.2">
      <c r="B522" s="473" t="s">
        <v>1450</v>
      </c>
      <c r="C522" s="475">
        <v>32.000000000000028</v>
      </c>
      <c r="D522" s="274">
        <v>525.5</v>
      </c>
    </row>
    <row r="523" spans="2:4" x14ac:dyDescent="0.2">
      <c r="B523" s="473" t="s">
        <v>1451</v>
      </c>
      <c r="C523" s="475">
        <v>25</v>
      </c>
      <c r="D523" s="274">
        <v>500</v>
      </c>
    </row>
    <row r="524" spans="2:4" x14ac:dyDescent="0.2">
      <c r="B524" s="473" t="s">
        <v>1452</v>
      </c>
      <c r="C524" s="475">
        <v>25</v>
      </c>
      <c r="D524" s="274">
        <v>453</v>
      </c>
    </row>
    <row r="525" spans="2:4" x14ac:dyDescent="0.2">
      <c r="B525" s="474" t="s">
        <v>1453</v>
      </c>
      <c r="C525" s="475">
        <v>25</v>
      </c>
      <c r="D525" s="274">
        <v>340</v>
      </c>
    </row>
    <row r="526" spans="2:4" x14ac:dyDescent="0.2">
      <c r="B526" s="476" t="s">
        <v>145</v>
      </c>
      <c r="C526" s="475"/>
    </row>
    <row r="527" spans="2:4" x14ac:dyDescent="0.2">
      <c r="B527" s="473" t="s">
        <v>1454</v>
      </c>
      <c r="C527" s="475">
        <v>25</v>
      </c>
      <c r="D527" s="274">
        <v>550</v>
      </c>
    </row>
    <row r="528" spans="2:4" x14ac:dyDescent="0.2">
      <c r="B528" s="473" t="s">
        <v>1455</v>
      </c>
      <c r="C528" s="475">
        <v>33</v>
      </c>
      <c r="D528" s="274">
        <v>357</v>
      </c>
    </row>
    <row r="529" spans="2:4" x14ac:dyDescent="0.2">
      <c r="B529" s="473" t="s">
        <v>1456</v>
      </c>
      <c r="C529" s="475">
        <v>25</v>
      </c>
      <c r="D529" s="274">
        <v>469.5</v>
      </c>
    </row>
    <row r="530" spans="2:4" x14ac:dyDescent="0.2">
      <c r="B530" s="473" t="s">
        <v>1608</v>
      </c>
      <c r="C530" s="475">
        <v>25</v>
      </c>
      <c r="D530" s="274">
        <v>377.5</v>
      </c>
    </row>
    <row r="531" spans="2:4" x14ac:dyDescent="0.2">
      <c r="B531" s="473" t="s">
        <v>1609</v>
      </c>
      <c r="C531" s="475">
        <v>25</v>
      </c>
      <c r="D531" s="274">
        <v>377.5</v>
      </c>
    </row>
    <row r="532" spans="2:4" x14ac:dyDescent="0.2">
      <c r="B532" s="473" t="s">
        <v>1610</v>
      </c>
      <c r="C532" s="475">
        <v>25</v>
      </c>
      <c r="D532" s="274">
        <v>377.5</v>
      </c>
    </row>
    <row r="533" spans="2:4" x14ac:dyDescent="0.2">
      <c r="B533" s="473" t="s">
        <v>1457</v>
      </c>
      <c r="C533" s="475">
        <v>25</v>
      </c>
      <c r="D533" s="274">
        <v>325</v>
      </c>
    </row>
    <row r="534" spans="2:4" x14ac:dyDescent="0.2">
      <c r="B534" s="473" t="s">
        <v>1458</v>
      </c>
      <c r="C534" s="475">
        <v>33</v>
      </c>
      <c r="D534" s="274">
        <v>394.5</v>
      </c>
    </row>
    <row r="535" spans="2:4" x14ac:dyDescent="0.2">
      <c r="B535" s="473" t="s">
        <v>1459</v>
      </c>
      <c r="C535" s="475">
        <v>25</v>
      </c>
      <c r="D535" s="274">
        <v>419.5</v>
      </c>
    </row>
    <row r="536" spans="2:4" x14ac:dyDescent="0.2">
      <c r="B536" s="473" t="s">
        <v>1460</v>
      </c>
      <c r="C536" s="475">
        <v>25</v>
      </c>
      <c r="D536" s="274">
        <v>190</v>
      </c>
    </row>
    <row r="537" spans="2:4" x14ac:dyDescent="0.2">
      <c r="B537" s="473" t="s">
        <v>1461</v>
      </c>
      <c r="C537" s="475">
        <v>31</v>
      </c>
      <c r="D537" s="274">
        <v>244</v>
      </c>
    </row>
    <row r="538" spans="2:4" x14ac:dyDescent="0.2">
      <c r="B538" s="473" t="s">
        <v>1462</v>
      </c>
      <c r="C538" s="475">
        <v>25</v>
      </c>
      <c r="D538" s="274">
        <v>244</v>
      </c>
    </row>
    <row r="539" spans="2:4" x14ac:dyDescent="0.2">
      <c r="B539" s="473" t="s">
        <v>1463</v>
      </c>
      <c r="C539" s="475">
        <v>31</v>
      </c>
      <c r="D539" s="274">
        <v>205</v>
      </c>
    </row>
    <row r="541" spans="2:4" x14ac:dyDescent="0.2">
      <c r="B541" s="472" t="s">
        <v>146</v>
      </c>
      <c r="C541" s="249" t="s">
        <v>105</v>
      </c>
      <c r="D541" s="274" t="s">
        <v>106</v>
      </c>
    </row>
    <row r="542" spans="2:4" x14ac:dyDescent="0.2">
      <c r="B542" s="474" t="s">
        <v>1464</v>
      </c>
      <c r="C542" s="288">
        <v>33</v>
      </c>
      <c r="D542" s="289">
        <v>1.75</v>
      </c>
    </row>
    <row r="543" spans="2:4" x14ac:dyDescent="0.2">
      <c r="B543" s="473" t="s">
        <v>1465</v>
      </c>
      <c r="C543" s="288">
        <v>33</v>
      </c>
      <c r="D543" s="289">
        <v>1.4</v>
      </c>
    </row>
    <row r="544" spans="2:4" x14ac:dyDescent="0.2">
      <c r="B544" s="473" t="s">
        <v>1466</v>
      </c>
      <c r="C544" s="475">
        <v>33</v>
      </c>
      <c r="D544" s="274">
        <v>1.5</v>
      </c>
    </row>
    <row r="545" spans="2:4" x14ac:dyDescent="0.2">
      <c r="B545" s="473" t="s">
        <v>1467</v>
      </c>
      <c r="C545" s="475">
        <v>33</v>
      </c>
      <c r="D545" s="274">
        <v>20</v>
      </c>
    </row>
    <row r="546" spans="2:4" x14ac:dyDescent="0.2">
      <c r="B546" s="474" t="s">
        <v>1468</v>
      </c>
      <c r="C546" s="475">
        <v>43</v>
      </c>
      <c r="D546" s="274">
        <v>1.75</v>
      </c>
    </row>
    <row r="547" spans="2:4" x14ac:dyDescent="0.2">
      <c r="B547" s="473" t="s">
        <v>1469</v>
      </c>
      <c r="C547" s="475">
        <v>43</v>
      </c>
      <c r="D547" s="274">
        <v>1.5</v>
      </c>
    </row>
    <row r="548" spans="2:4" x14ac:dyDescent="0.2">
      <c r="B548" s="474" t="s">
        <v>1630</v>
      </c>
      <c r="C548" s="475">
        <v>39</v>
      </c>
      <c r="D548" s="274">
        <v>3</v>
      </c>
    </row>
    <row r="549" spans="2:4" x14ac:dyDescent="0.2">
      <c r="B549" s="473" t="s">
        <v>1470</v>
      </c>
      <c r="C549" s="475">
        <v>39</v>
      </c>
      <c r="D549" s="274">
        <v>2</v>
      </c>
    </row>
    <row r="550" spans="2:4" x14ac:dyDescent="0.2">
      <c r="B550" s="473" t="s">
        <v>1621</v>
      </c>
      <c r="C550" s="475">
        <v>43</v>
      </c>
      <c r="D550" s="274">
        <v>1.5</v>
      </c>
    </row>
    <row r="551" spans="2:4" x14ac:dyDescent="0.2">
      <c r="B551" s="473" t="s">
        <v>1471</v>
      </c>
      <c r="C551" s="475">
        <v>43</v>
      </c>
      <c r="D551" s="274">
        <v>4.6900000000000004</v>
      </c>
    </row>
    <row r="552" spans="2:4" x14ac:dyDescent="0.2">
      <c r="B552" s="473" t="s">
        <v>1472</v>
      </c>
      <c r="C552" s="475">
        <v>33</v>
      </c>
      <c r="D552" s="274">
        <v>2.2000000000000002</v>
      </c>
    </row>
    <row r="554" spans="2:4" x14ac:dyDescent="0.2">
      <c r="B554" s="472" t="s">
        <v>147</v>
      </c>
      <c r="C554" s="249" t="s">
        <v>105</v>
      </c>
      <c r="D554" s="274" t="s">
        <v>106</v>
      </c>
    </row>
    <row r="555" spans="2:4" x14ac:dyDescent="0.2">
      <c r="B555" s="473" t="s">
        <v>1473</v>
      </c>
      <c r="C555" s="288">
        <v>27</v>
      </c>
      <c r="D555" s="289">
        <v>2.1</v>
      </c>
    </row>
    <row r="556" spans="2:4" x14ac:dyDescent="0.2">
      <c r="B556" s="473" t="s">
        <v>1474</v>
      </c>
      <c r="C556" s="475">
        <v>26.999999999999915</v>
      </c>
      <c r="D556" s="274">
        <v>4.0999999999999996</v>
      </c>
    </row>
    <row r="557" spans="2:4" x14ac:dyDescent="0.2">
      <c r="B557" s="473" t="s">
        <v>1611</v>
      </c>
      <c r="C557" s="475">
        <v>27</v>
      </c>
      <c r="D557" s="274">
        <v>5.8</v>
      </c>
    </row>
    <row r="558" spans="2:4" x14ac:dyDescent="0.2">
      <c r="B558" s="473" t="s">
        <v>1475</v>
      </c>
      <c r="C558" s="475">
        <v>26.999999999999915</v>
      </c>
      <c r="D558" s="274">
        <v>2.25</v>
      </c>
    </row>
    <row r="560" spans="2:4" x14ac:dyDescent="0.2">
      <c r="B560" s="472" t="s">
        <v>148</v>
      </c>
      <c r="C560" s="249" t="s">
        <v>105</v>
      </c>
      <c r="D560" s="274" t="s">
        <v>106</v>
      </c>
    </row>
    <row r="561" spans="2:4" x14ac:dyDescent="0.2">
      <c r="B561" s="473" t="s">
        <v>1476</v>
      </c>
      <c r="C561" s="475">
        <v>32.000000000000028</v>
      </c>
      <c r="D561" s="274">
        <v>2.4500000000000002</v>
      </c>
    </row>
    <row r="562" spans="2:4" x14ac:dyDescent="0.2">
      <c r="B562" s="473" t="s">
        <v>1480</v>
      </c>
      <c r="C562" s="475">
        <v>34.999999999999922</v>
      </c>
      <c r="D562" s="274">
        <v>2.4500000000000002</v>
      </c>
    </row>
    <row r="563" spans="2:4" x14ac:dyDescent="0.2">
      <c r="B563" s="473" t="s">
        <v>1635</v>
      </c>
      <c r="C563" s="475">
        <v>36.000000000000028</v>
      </c>
      <c r="D563" s="274">
        <v>1.8</v>
      </c>
    </row>
    <row r="564" spans="2:4" x14ac:dyDescent="0.2">
      <c r="B564" s="473" t="s">
        <v>1641</v>
      </c>
      <c r="C564" s="475">
        <v>36.000000000000028</v>
      </c>
      <c r="D564" s="274">
        <v>1</v>
      </c>
    </row>
    <row r="565" spans="2:4" x14ac:dyDescent="0.2">
      <c r="B565" s="473" t="s">
        <v>1644</v>
      </c>
      <c r="C565" s="475">
        <v>36.000000000000028</v>
      </c>
      <c r="D565" s="274">
        <v>1.9</v>
      </c>
    </row>
    <row r="566" spans="2:4" x14ac:dyDescent="0.2">
      <c r="B566" s="473" t="s">
        <v>1636</v>
      </c>
      <c r="C566" s="475">
        <v>36.000000000000028</v>
      </c>
      <c r="D566" s="274">
        <v>1.2</v>
      </c>
    </row>
    <row r="567" spans="2:4" x14ac:dyDescent="0.2">
      <c r="B567" s="473" t="s">
        <v>1637</v>
      </c>
      <c r="C567" s="475">
        <v>36.000000000000028</v>
      </c>
      <c r="D567" s="274">
        <v>2.2999999999999998</v>
      </c>
    </row>
    <row r="568" spans="2:4" x14ac:dyDescent="0.2">
      <c r="B568" s="473" t="s">
        <v>1640</v>
      </c>
      <c r="C568" s="475">
        <v>36.000000000000028</v>
      </c>
      <c r="D568" s="274">
        <v>1.6</v>
      </c>
    </row>
    <row r="569" spans="2:4" x14ac:dyDescent="0.2">
      <c r="B569" s="473" t="s">
        <v>1638</v>
      </c>
      <c r="C569" s="475">
        <v>36.000000000000028</v>
      </c>
      <c r="D569" s="274">
        <v>1.9</v>
      </c>
    </row>
    <row r="570" spans="2:4" x14ac:dyDescent="0.2">
      <c r="B570" s="473" t="s">
        <v>1639</v>
      </c>
      <c r="C570" s="475">
        <v>36.000000000000028</v>
      </c>
      <c r="D570" s="274">
        <v>1.9</v>
      </c>
    </row>
    <row r="571" spans="2:4" x14ac:dyDescent="0.2">
      <c r="B571" s="473" t="s">
        <v>1642</v>
      </c>
      <c r="C571" s="475">
        <v>36.000000000000028</v>
      </c>
      <c r="D571" s="274">
        <v>2.7</v>
      </c>
    </row>
    <row r="572" spans="2:4" x14ac:dyDescent="0.2">
      <c r="B572" s="473" t="s">
        <v>1643</v>
      </c>
      <c r="C572" s="475">
        <v>36.000000000000028</v>
      </c>
      <c r="D572" s="274">
        <v>2.7</v>
      </c>
    </row>
    <row r="573" spans="2:4" x14ac:dyDescent="0.2">
      <c r="B573" s="474" t="s">
        <v>1481</v>
      </c>
      <c r="C573" s="475">
        <v>36.000000000000028</v>
      </c>
      <c r="D573" s="274">
        <v>1</v>
      </c>
    </row>
    <row r="574" spans="2:4" x14ac:dyDescent="0.2">
      <c r="B574" s="474" t="s">
        <v>1482</v>
      </c>
      <c r="C574" s="475">
        <v>36.000000000000028</v>
      </c>
      <c r="D574" s="274">
        <v>1</v>
      </c>
    </row>
    <row r="575" spans="2:4" x14ac:dyDescent="0.2">
      <c r="B575" s="474" t="s">
        <v>1483</v>
      </c>
      <c r="C575" s="475">
        <v>36.000000000000028</v>
      </c>
      <c r="D575" s="274">
        <v>1</v>
      </c>
    </row>
    <row r="576" spans="2:4" x14ac:dyDescent="0.2">
      <c r="B576" s="474" t="s">
        <v>1484</v>
      </c>
      <c r="C576" s="475">
        <v>36.000000000000028</v>
      </c>
      <c r="D576" s="274">
        <v>1</v>
      </c>
    </row>
    <row r="577" spans="2:4" x14ac:dyDescent="0.2">
      <c r="B577" s="474" t="s">
        <v>1485</v>
      </c>
      <c r="C577" s="475">
        <v>36.000000000000028</v>
      </c>
      <c r="D577" s="274">
        <v>1</v>
      </c>
    </row>
    <row r="578" spans="2:4" x14ac:dyDescent="0.2">
      <c r="B578" s="474" t="s">
        <v>1486</v>
      </c>
      <c r="C578" s="475">
        <v>36.000000000000028</v>
      </c>
      <c r="D578" s="274">
        <v>1</v>
      </c>
    </row>
    <row r="579" spans="2:4" x14ac:dyDescent="0.2">
      <c r="B579" s="473" t="s">
        <v>1477</v>
      </c>
      <c r="C579" s="475">
        <v>32.000000000000028</v>
      </c>
      <c r="D579" s="274">
        <v>1</v>
      </c>
    </row>
    <row r="580" spans="2:4" x14ac:dyDescent="0.2">
      <c r="B580" s="473" t="s">
        <v>1487</v>
      </c>
      <c r="C580" s="475">
        <v>34.999999999999922</v>
      </c>
      <c r="D580" s="274">
        <v>1</v>
      </c>
    </row>
    <row r="581" spans="2:4" x14ac:dyDescent="0.2">
      <c r="B581" s="473" t="s">
        <v>1488</v>
      </c>
      <c r="C581" s="475">
        <v>36.000000000000028</v>
      </c>
      <c r="D581" s="274">
        <v>2.35</v>
      </c>
    </row>
    <row r="582" spans="2:4" x14ac:dyDescent="0.2">
      <c r="B582" s="473" t="s">
        <v>1612</v>
      </c>
      <c r="C582" s="475">
        <v>36.000000000000028</v>
      </c>
      <c r="D582" s="274">
        <v>1</v>
      </c>
    </row>
    <row r="583" spans="2:4" x14ac:dyDescent="0.2">
      <c r="B583" s="473" t="s">
        <v>1613</v>
      </c>
      <c r="C583" s="475">
        <v>36.000000000000028</v>
      </c>
      <c r="D583" s="274">
        <v>1</v>
      </c>
    </row>
    <row r="584" spans="2:4" x14ac:dyDescent="0.2">
      <c r="B584" s="473" t="s">
        <v>1614</v>
      </c>
      <c r="C584" s="475">
        <v>36.000000000000028</v>
      </c>
      <c r="D584" s="274">
        <v>1</v>
      </c>
    </row>
    <row r="585" spans="2:4" x14ac:dyDescent="0.2">
      <c r="B585" s="473" t="s">
        <v>1615</v>
      </c>
      <c r="C585" s="475">
        <v>36.000000000000028</v>
      </c>
      <c r="D585" s="274">
        <v>1</v>
      </c>
    </row>
    <row r="586" spans="2:4" x14ac:dyDescent="0.2">
      <c r="B586" s="473" t="s">
        <v>1478</v>
      </c>
      <c r="C586" s="475">
        <v>32.000000000000028</v>
      </c>
      <c r="D586" s="274">
        <v>2.25</v>
      </c>
    </row>
    <row r="587" spans="2:4" x14ac:dyDescent="0.2">
      <c r="B587" s="473" t="s">
        <v>1479</v>
      </c>
      <c r="C587" s="475">
        <v>36.999999999999922</v>
      </c>
      <c r="D587" s="274">
        <v>2.25</v>
      </c>
    </row>
    <row r="588" spans="2:4" x14ac:dyDescent="0.2">
      <c r="B588" s="473" t="s">
        <v>1489</v>
      </c>
      <c r="C588" s="475">
        <v>36.000000000000028</v>
      </c>
      <c r="D588" s="274">
        <v>2.25</v>
      </c>
    </row>
    <row r="590" spans="2:4" x14ac:dyDescent="0.2">
      <c r="B590" s="472" t="s">
        <v>149</v>
      </c>
      <c r="C590" s="249" t="s">
        <v>105</v>
      </c>
      <c r="D590" s="274" t="s">
        <v>106</v>
      </c>
    </row>
    <row r="591" spans="2:4" x14ac:dyDescent="0.2">
      <c r="B591" s="474" t="s">
        <v>1490</v>
      </c>
      <c r="C591" s="249">
        <v>35</v>
      </c>
      <c r="D591" s="274">
        <v>1.75</v>
      </c>
    </row>
    <row r="592" spans="2:4" x14ac:dyDescent="0.2">
      <c r="B592" s="473" t="s">
        <v>1491</v>
      </c>
      <c r="C592" s="288">
        <v>35</v>
      </c>
      <c r="D592" s="289">
        <v>5.8</v>
      </c>
    </row>
    <row r="593" spans="2:4" x14ac:dyDescent="0.2">
      <c r="B593" s="473" t="s">
        <v>1492</v>
      </c>
      <c r="C593" s="288">
        <v>35</v>
      </c>
      <c r="D593" s="289">
        <v>2.6</v>
      </c>
    </row>
    <row r="594" spans="2:4" x14ac:dyDescent="0.2">
      <c r="B594" s="473" t="s">
        <v>1493</v>
      </c>
      <c r="C594" s="475">
        <v>36.999999999999922</v>
      </c>
      <c r="D594" s="274">
        <v>2.1</v>
      </c>
    </row>
    <row r="595" spans="2:4" x14ac:dyDescent="0.2">
      <c r="B595" s="473" t="s">
        <v>1494</v>
      </c>
      <c r="C595" s="475">
        <v>36.999999999999922</v>
      </c>
      <c r="D595" s="274">
        <v>2.85</v>
      </c>
    </row>
    <row r="596" spans="2:4" x14ac:dyDescent="0.2">
      <c r="B596" s="473" t="s">
        <v>1495</v>
      </c>
      <c r="C596" s="475">
        <v>36.999999999999922</v>
      </c>
      <c r="D596" s="274">
        <v>2.1</v>
      </c>
    </row>
    <row r="597" spans="2:4" x14ac:dyDescent="0.2">
      <c r="B597" s="473" t="s">
        <v>1496</v>
      </c>
      <c r="C597" s="475">
        <v>34.000000000000028</v>
      </c>
      <c r="D597" s="274">
        <v>1.5</v>
      </c>
    </row>
    <row r="598" spans="2:4" x14ac:dyDescent="0.2">
      <c r="B598" s="473" t="s">
        <v>1497</v>
      </c>
      <c r="C598" s="475">
        <v>34.000000000000028</v>
      </c>
      <c r="D598" s="274">
        <v>1.5</v>
      </c>
    </row>
    <row r="599" spans="2:4" x14ac:dyDescent="0.2">
      <c r="B599" s="473" t="s">
        <v>1616</v>
      </c>
      <c r="C599" s="475">
        <v>34</v>
      </c>
      <c r="D599" s="274">
        <v>2.8</v>
      </c>
    </row>
    <row r="600" spans="2:4" x14ac:dyDescent="0.2">
      <c r="B600" s="473" t="s">
        <v>1498</v>
      </c>
      <c r="C600" s="475">
        <v>34.000000000000028</v>
      </c>
      <c r="D600" s="274">
        <v>2.5</v>
      </c>
    </row>
    <row r="601" spans="2:4" x14ac:dyDescent="0.2">
      <c r="B601" s="473" t="s">
        <v>1499</v>
      </c>
      <c r="C601" s="475">
        <v>36.999999999999922</v>
      </c>
      <c r="D601" s="274">
        <v>6</v>
      </c>
    </row>
    <row r="602" spans="2:4" x14ac:dyDescent="0.2">
      <c r="B602" s="473" t="s">
        <v>1500</v>
      </c>
      <c r="C602" s="475">
        <v>36.999999999999922</v>
      </c>
      <c r="D602" s="274">
        <v>5</v>
      </c>
    </row>
    <row r="603" spans="2:4" x14ac:dyDescent="0.2">
      <c r="B603" s="473" t="s">
        <v>1501</v>
      </c>
      <c r="C603" s="475">
        <v>36.999999999999922</v>
      </c>
      <c r="D603" s="274">
        <v>5</v>
      </c>
    </row>
    <row r="604" spans="2:4" x14ac:dyDescent="0.2">
      <c r="B604" s="473" t="s">
        <v>1502</v>
      </c>
      <c r="C604" s="475">
        <v>35</v>
      </c>
      <c r="D604" s="274">
        <v>2.4500000000000002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0" tint="-0.499984740745262"/>
  </sheetPr>
  <dimension ref="B1:D50"/>
  <sheetViews>
    <sheetView showGridLines="0" zoomScaleNormal="100" workbookViewId="0"/>
  </sheetViews>
  <sheetFormatPr defaultColWidth="9.42578125" defaultRowHeight="12.75" x14ac:dyDescent="0.2"/>
  <cols>
    <col min="1" max="1" width="2.5703125" style="3" customWidth="1"/>
    <col min="2" max="2" width="28.5703125" style="3" bestFit="1" customWidth="1"/>
    <col min="3" max="3" width="14.42578125" style="3" bestFit="1" customWidth="1"/>
    <col min="4" max="4" width="8.42578125" style="3" bestFit="1" customWidth="1"/>
    <col min="5" max="16384" width="9.42578125" style="3"/>
  </cols>
  <sheetData>
    <row r="1" spans="2:4" x14ac:dyDescent="0.2">
      <c r="B1" s="273" t="s">
        <v>150</v>
      </c>
      <c r="C1" s="179" t="s">
        <v>105</v>
      </c>
      <c r="D1" s="179" t="s">
        <v>106</v>
      </c>
    </row>
    <row r="2" spans="2:4" x14ac:dyDescent="0.2">
      <c r="B2" s="3" t="s">
        <v>1503</v>
      </c>
      <c r="C2" s="4">
        <v>34</v>
      </c>
      <c r="D2" s="2">
        <v>5</v>
      </c>
    </row>
    <row r="3" spans="2:4" x14ac:dyDescent="0.2">
      <c r="B3" s="3" t="s">
        <v>1504</v>
      </c>
      <c r="C3" s="4">
        <v>46.000000000000043</v>
      </c>
      <c r="D3" s="2">
        <v>8</v>
      </c>
    </row>
    <row r="4" spans="2:4" x14ac:dyDescent="0.2">
      <c r="B4" s="3" t="s">
        <v>1504</v>
      </c>
      <c r="C4" s="4">
        <v>46.000000000000043</v>
      </c>
      <c r="D4" s="2">
        <v>50</v>
      </c>
    </row>
    <row r="5" spans="2:4" x14ac:dyDescent="0.2">
      <c r="B5" s="1" t="s">
        <v>1545</v>
      </c>
      <c r="C5" s="455">
        <v>46.000000000000043</v>
      </c>
      <c r="D5" s="456">
        <v>0</v>
      </c>
    </row>
    <row r="6" spans="2:4" x14ac:dyDescent="0.2">
      <c r="B6" s="1" t="s">
        <v>1546</v>
      </c>
      <c r="C6" s="455">
        <v>46</v>
      </c>
      <c r="D6" s="456">
        <v>275</v>
      </c>
    </row>
    <row r="7" spans="2:4" x14ac:dyDescent="0.2">
      <c r="B7" s="1" t="s">
        <v>1547</v>
      </c>
      <c r="C7" s="455">
        <v>41</v>
      </c>
      <c r="D7" s="456">
        <v>0</v>
      </c>
    </row>
    <row r="8" spans="2:4" x14ac:dyDescent="0.2">
      <c r="B8" s="1" t="s">
        <v>1548</v>
      </c>
      <c r="C8" s="455">
        <v>41</v>
      </c>
      <c r="D8" s="456">
        <v>22</v>
      </c>
    </row>
    <row r="9" spans="2:4" x14ac:dyDescent="0.2">
      <c r="B9" s="1" t="s">
        <v>1549</v>
      </c>
      <c r="C9" s="455">
        <v>41</v>
      </c>
      <c r="D9" s="456">
        <v>36</v>
      </c>
    </row>
    <row r="10" spans="2:4" x14ac:dyDescent="0.2">
      <c r="B10" s="3" t="s">
        <v>1510</v>
      </c>
      <c r="C10" s="4">
        <v>32.000000000000028</v>
      </c>
      <c r="D10" s="2">
        <v>0</v>
      </c>
    </row>
    <row r="11" spans="2:4" x14ac:dyDescent="0.2">
      <c r="B11" s="3" t="s">
        <v>1509</v>
      </c>
      <c r="C11" s="4">
        <v>32.000000000000028</v>
      </c>
      <c r="D11" s="2">
        <v>5</v>
      </c>
    </row>
    <row r="12" spans="2:4" x14ac:dyDescent="0.2">
      <c r="B12" s="3" t="s">
        <v>1507</v>
      </c>
      <c r="C12" s="4">
        <v>32.000000000000028</v>
      </c>
      <c r="D12" s="2">
        <v>45</v>
      </c>
    </row>
    <row r="13" spans="2:4" x14ac:dyDescent="0.2">
      <c r="B13" s="3" t="s">
        <v>1508</v>
      </c>
      <c r="C13" s="4">
        <v>32.000000000000028</v>
      </c>
      <c r="D13" s="2">
        <v>90</v>
      </c>
    </row>
    <row r="14" spans="2:4" x14ac:dyDescent="0.2">
      <c r="B14" s="3" t="s">
        <v>1505</v>
      </c>
      <c r="C14" s="4">
        <v>32.000000000000028</v>
      </c>
      <c r="D14" s="2">
        <v>180</v>
      </c>
    </row>
    <row r="15" spans="2:4" x14ac:dyDescent="0.2">
      <c r="B15" s="3" t="s">
        <v>1506</v>
      </c>
      <c r="C15" s="4">
        <v>32.000000000000028</v>
      </c>
      <c r="D15" s="2">
        <v>240</v>
      </c>
    </row>
    <row r="16" spans="2:4" x14ac:dyDescent="0.2">
      <c r="B16" s="3" t="s">
        <v>1511</v>
      </c>
      <c r="C16" s="4">
        <v>46.000000000000043</v>
      </c>
      <c r="D16" s="2">
        <v>0</v>
      </c>
    </row>
    <row r="17" spans="2:4" x14ac:dyDescent="0.2">
      <c r="B17" s="3" t="s">
        <v>1512</v>
      </c>
      <c r="C17" s="4">
        <v>46.000000000000043</v>
      </c>
      <c r="D17" s="2">
        <v>0</v>
      </c>
    </row>
    <row r="18" spans="2:4" x14ac:dyDescent="0.2">
      <c r="B18" s="3" t="s">
        <v>1513</v>
      </c>
      <c r="C18" s="4">
        <v>36.000000000000028</v>
      </c>
      <c r="D18" s="2">
        <v>0</v>
      </c>
    </row>
    <row r="19" spans="2:4" x14ac:dyDescent="0.2">
      <c r="B19" s="3" t="s">
        <v>1514</v>
      </c>
      <c r="C19" s="4">
        <v>46.000000000000043</v>
      </c>
      <c r="D19" s="2">
        <v>2</v>
      </c>
    </row>
    <row r="20" spans="2:4" x14ac:dyDescent="0.2">
      <c r="B20" s="3" t="s">
        <v>1515</v>
      </c>
      <c r="C20" s="4">
        <v>36.999999999999922</v>
      </c>
      <c r="D20" s="2">
        <v>0</v>
      </c>
    </row>
    <row r="21" spans="2:4" x14ac:dyDescent="0.2">
      <c r="B21" s="3" t="s">
        <v>1524</v>
      </c>
      <c r="C21" s="4">
        <v>46</v>
      </c>
      <c r="D21" s="2">
        <v>0</v>
      </c>
    </row>
    <row r="22" spans="2:4" x14ac:dyDescent="0.2">
      <c r="B22" s="3" t="s">
        <v>1525</v>
      </c>
      <c r="C22" s="4">
        <v>34.000000000000028</v>
      </c>
      <c r="D22" s="2">
        <v>6</v>
      </c>
    </row>
    <row r="23" spans="2:4" x14ac:dyDescent="0.2">
      <c r="B23" s="3" t="s">
        <v>1526</v>
      </c>
      <c r="C23" s="4">
        <v>46.000000000000043</v>
      </c>
      <c r="D23" s="2">
        <v>0</v>
      </c>
    </row>
    <row r="24" spans="2:4" x14ac:dyDescent="0.2">
      <c r="B24" s="3" t="s">
        <v>1527</v>
      </c>
      <c r="C24" s="4">
        <v>42.999999999999929</v>
      </c>
      <c r="D24" s="2">
        <v>0</v>
      </c>
    </row>
    <row r="25" spans="2:4" x14ac:dyDescent="0.2">
      <c r="B25" s="3" t="s">
        <v>1538</v>
      </c>
      <c r="C25" s="4">
        <v>8.999999999999897</v>
      </c>
      <c r="D25" s="2">
        <v>10</v>
      </c>
    </row>
    <row r="26" spans="2:4" x14ac:dyDescent="0.2">
      <c r="B26" s="3" t="s">
        <v>1539</v>
      </c>
      <c r="C26" s="4">
        <v>30.000000000000028</v>
      </c>
      <c r="D26" s="2">
        <v>35</v>
      </c>
    </row>
    <row r="27" spans="2:4" x14ac:dyDescent="0.2">
      <c r="B27" s="3" t="s">
        <v>1540</v>
      </c>
      <c r="C27" s="4">
        <v>36.000000000000028</v>
      </c>
      <c r="D27" s="2">
        <v>80</v>
      </c>
    </row>
    <row r="28" spans="2:4" x14ac:dyDescent="0.2">
      <c r="B28" s="3" t="s">
        <v>1541</v>
      </c>
      <c r="C28" s="4">
        <v>36.000000000000028</v>
      </c>
      <c r="D28" s="2">
        <v>0</v>
      </c>
    </row>
    <row r="29" spans="2:4" x14ac:dyDescent="0.2">
      <c r="B29" s="3" t="s">
        <v>1542</v>
      </c>
      <c r="C29" s="4">
        <v>37</v>
      </c>
      <c r="D29" s="2">
        <v>4</v>
      </c>
    </row>
    <row r="30" spans="2:4" x14ac:dyDescent="0.2">
      <c r="B30" s="3" t="s">
        <v>1543</v>
      </c>
      <c r="C30" s="4">
        <v>36.000000000000028</v>
      </c>
      <c r="D30" s="2">
        <v>100</v>
      </c>
    </row>
    <row r="31" spans="2:4" x14ac:dyDescent="0.2">
      <c r="B31" s="3" t="s">
        <v>1544</v>
      </c>
      <c r="C31" s="4">
        <v>44.000000000000043</v>
      </c>
      <c r="D31" s="2">
        <v>10</v>
      </c>
    </row>
    <row r="33" spans="2:4" x14ac:dyDescent="0.2">
      <c r="B33" s="3" t="s">
        <v>1521</v>
      </c>
      <c r="C33" s="4">
        <v>43</v>
      </c>
      <c r="D33" s="2">
        <v>2</v>
      </c>
    </row>
    <row r="34" spans="2:4" x14ac:dyDescent="0.2">
      <c r="B34" s="3" t="s">
        <v>1523</v>
      </c>
      <c r="C34" s="4">
        <v>43</v>
      </c>
      <c r="D34" s="2">
        <v>3</v>
      </c>
    </row>
    <row r="35" spans="2:4" x14ac:dyDescent="0.2">
      <c r="B35" s="3" t="s">
        <v>1518</v>
      </c>
      <c r="C35" s="4">
        <v>43</v>
      </c>
      <c r="D35" s="2">
        <v>4</v>
      </c>
    </row>
    <row r="36" spans="2:4" x14ac:dyDescent="0.2">
      <c r="B36" s="3" t="s">
        <v>1520</v>
      </c>
      <c r="C36" s="4">
        <v>43</v>
      </c>
      <c r="D36" s="2">
        <v>6</v>
      </c>
    </row>
    <row r="37" spans="2:4" x14ac:dyDescent="0.2">
      <c r="B37" s="3" t="s">
        <v>1519</v>
      </c>
      <c r="C37" s="4">
        <v>43</v>
      </c>
      <c r="D37" s="2">
        <v>6</v>
      </c>
    </row>
    <row r="38" spans="2:4" x14ac:dyDescent="0.2">
      <c r="B38" s="3" t="s">
        <v>1522</v>
      </c>
      <c r="C38" s="4">
        <v>43</v>
      </c>
      <c r="D38" s="2">
        <v>6</v>
      </c>
    </row>
    <row r="39" spans="2:4" x14ac:dyDescent="0.2">
      <c r="B39" s="3" t="s">
        <v>1516</v>
      </c>
      <c r="C39" s="4">
        <v>43</v>
      </c>
      <c r="D39" s="2">
        <v>10</v>
      </c>
    </row>
    <row r="40" spans="2:4" x14ac:dyDescent="0.2">
      <c r="B40" s="3" t="s">
        <v>1517</v>
      </c>
      <c r="C40" s="4">
        <v>43</v>
      </c>
      <c r="D40" s="2">
        <v>30</v>
      </c>
    </row>
    <row r="41" spans="2:4" x14ac:dyDescent="0.2">
      <c r="B41" s="3" t="s">
        <v>1535</v>
      </c>
      <c r="C41" s="4">
        <v>36</v>
      </c>
      <c r="D41" s="2">
        <v>2</v>
      </c>
    </row>
    <row r="42" spans="2:4" x14ac:dyDescent="0.2">
      <c r="B42" s="3" t="s">
        <v>1533</v>
      </c>
      <c r="C42" s="4">
        <v>36</v>
      </c>
      <c r="D42" s="2">
        <v>2</v>
      </c>
    </row>
    <row r="43" spans="2:4" x14ac:dyDescent="0.2">
      <c r="B43" s="3" t="s">
        <v>1537</v>
      </c>
      <c r="C43" s="4">
        <v>36</v>
      </c>
      <c r="D43" s="2">
        <v>3</v>
      </c>
    </row>
    <row r="44" spans="2:4" x14ac:dyDescent="0.2">
      <c r="B44" s="3" t="s">
        <v>1532</v>
      </c>
      <c r="C44" s="4">
        <v>36</v>
      </c>
      <c r="D44" s="2">
        <v>4</v>
      </c>
    </row>
    <row r="45" spans="2:4" x14ac:dyDescent="0.2">
      <c r="B45" s="3" t="s">
        <v>1530</v>
      </c>
      <c r="C45" s="4">
        <v>36</v>
      </c>
      <c r="D45" s="2">
        <v>4.5</v>
      </c>
    </row>
    <row r="46" spans="2:4" x14ac:dyDescent="0.2">
      <c r="B46" s="3" t="s">
        <v>1536</v>
      </c>
      <c r="C46" s="4">
        <v>36</v>
      </c>
      <c r="D46" s="2">
        <v>7</v>
      </c>
    </row>
    <row r="47" spans="2:4" x14ac:dyDescent="0.2">
      <c r="B47" s="3" t="s">
        <v>1531</v>
      </c>
      <c r="C47" s="4">
        <v>36</v>
      </c>
      <c r="D47" s="2">
        <v>8</v>
      </c>
    </row>
    <row r="48" spans="2:4" x14ac:dyDescent="0.2">
      <c r="B48" s="3" t="s">
        <v>1534</v>
      </c>
      <c r="C48" s="4">
        <v>36</v>
      </c>
      <c r="D48" s="2">
        <v>9</v>
      </c>
    </row>
    <row r="49" spans="2:4" x14ac:dyDescent="0.2">
      <c r="B49" s="3" t="s">
        <v>1528</v>
      </c>
      <c r="C49" s="4">
        <v>36</v>
      </c>
      <c r="D49" s="2">
        <v>10</v>
      </c>
    </row>
    <row r="50" spans="2:4" x14ac:dyDescent="0.2">
      <c r="B50" s="3" t="s">
        <v>1529</v>
      </c>
      <c r="C50" s="4">
        <v>36</v>
      </c>
      <c r="D50" s="2">
        <v>30</v>
      </c>
    </row>
  </sheetData>
  <sortState xmlns:xlrd2="http://schemas.microsoft.com/office/spreadsheetml/2017/richdata2" ref="B33:D40">
    <sortCondition ref="D33:D40"/>
  </sortState>
  <phoneticPr fontId="6"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H657"/>
  <sheetViews>
    <sheetView showGridLines="0" zoomScaleNormal="100" workbookViewId="0"/>
  </sheetViews>
  <sheetFormatPr defaultColWidth="9.42578125" defaultRowHeight="12.75" x14ac:dyDescent="0.2"/>
  <cols>
    <col min="1" max="1" width="2.42578125" style="474" customWidth="1"/>
    <col min="2" max="2" width="52.42578125" style="474" bestFit="1" customWidth="1"/>
    <col min="3" max="3" width="3" style="288" bestFit="1" customWidth="1"/>
    <col min="4" max="4" width="8" style="289" bestFit="1" customWidth="1"/>
    <col min="5" max="5" width="8.42578125" style="474" customWidth="1"/>
    <col min="6" max="16384" width="9.42578125" style="474"/>
  </cols>
  <sheetData>
    <row r="1" spans="2:8" x14ac:dyDescent="0.2">
      <c r="B1" s="474" t="s">
        <v>147</v>
      </c>
      <c r="C1" s="477"/>
    </row>
    <row r="2" spans="2:8" x14ac:dyDescent="0.2">
      <c r="B2" s="474" t="s">
        <v>1503</v>
      </c>
      <c r="C2" s="288">
        <v>34</v>
      </c>
      <c r="D2" s="289">
        <v>5</v>
      </c>
      <c r="G2" s="477"/>
      <c r="H2" s="289"/>
    </row>
    <row r="3" spans="2:8" x14ac:dyDescent="0.2">
      <c r="B3" s="474" t="s">
        <v>138</v>
      </c>
      <c r="C3" s="477"/>
      <c r="G3" s="477"/>
      <c r="H3" s="289"/>
    </row>
    <row r="4" spans="2:8" x14ac:dyDescent="0.2">
      <c r="B4" s="474" t="s">
        <v>135</v>
      </c>
      <c r="C4" s="474"/>
      <c r="G4" s="477"/>
      <c r="H4" s="289"/>
    </row>
    <row r="5" spans="2:8" x14ac:dyDescent="0.2">
      <c r="B5" s="474" t="s">
        <v>1563</v>
      </c>
      <c r="C5" s="474">
        <v>34</v>
      </c>
      <c r="D5" s="289">
        <v>23</v>
      </c>
      <c r="G5" s="477"/>
      <c r="H5" s="289"/>
    </row>
    <row r="6" spans="2:8" x14ac:dyDescent="0.2">
      <c r="B6" s="474" t="s">
        <v>1559</v>
      </c>
      <c r="C6" s="477">
        <v>35</v>
      </c>
      <c r="D6" s="289">
        <v>11.8</v>
      </c>
      <c r="G6" s="477"/>
      <c r="H6" s="289"/>
    </row>
    <row r="7" spans="2:8" x14ac:dyDescent="0.2">
      <c r="B7" s="474" t="s">
        <v>1561</v>
      </c>
      <c r="C7" s="477">
        <v>34</v>
      </c>
      <c r="D7" s="289">
        <v>8</v>
      </c>
      <c r="G7" s="477"/>
      <c r="H7" s="289"/>
    </row>
    <row r="8" spans="2:8" x14ac:dyDescent="0.2">
      <c r="B8" s="474" t="s">
        <v>1562</v>
      </c>
      <c r="C8" s="477">
        <v>34</v>
      </c>
      <c r="D8" s="289">
        <v>13.7</v>
      </c>
      <c r="G8" s="288"/>
      <c r="H8" s="289"/>
    </row>
    <row r="9" spans="2:8" x14ac:dyDescent="0.2">
      <c r="B9" s="474" t="s">
        <v>1553</v>
      </c>
      <c r="C9" s="477">
        <v>38</v>
      </c>
      <c r="D9" s="289">
        <v>3</v>
      </c>
      <c r="G9" s="288"/>
      <c r="H9" s="289"/>
    </row>
    <row r="10" spans="2:8" x14ac:dyDescent="0.2">
      <c r="B10" s="474" t="s">
        <v>1556</v>
      </c>
      <c r="C10" s="477">
        <v>37</v>
      </c>
      <c r="D10" s="289">
        <v>2.6</v>
      </c>
      <c r="G10" s="477"/>
      <c r="H10" s="289"/>
    </row>
    <row r="11" spans="2:8" x14ac:dyDescent="0.2">
      <c r="B11" s="474" t="s">
        <v>1555</v>
      </c>
      <c r="C11" s="477">
        <v>37</v>
      </c>
      <c r="D11" s="289">
        <v>2.6</v>
      </c>
      <c r="G11" s="477"/>
      <c r="H11" s="289"/>
    </row>
    <row r="12" spans="2:8" x14ac:dyDescent="0.2">
      <c r="B12" s="474" t="s">
        <v>1554</v>
      </c>
      <c r="C12" s="477">
        <v>37</v>
      </c>
      <c r="D12" s="289">
        <v>2.6</v>
      </c>
      <c r="G12" s="477"/>
      <c r="H12" s="289"/>
    </row>
    <row r="13" spans="2:8" x14ac:dyDescent="0.2">
      <c r="B13" s="474" t="s">
        <v>1558</v>
      </c>
      <c r="C13" s="477">
        <v>35</v>
      </c>
      <c r="D13" s="289">
        <v>7.1</v>
      </c>
      <c r="G13" s="477"/>
      <c r="H13" s="289"/>
    </row>
    <row r="14" spans="2:8" x14ac:dyDescent="0.2">
      <c r="B14" s="474" t="s">
        <v>1557</v>
      </c>
      <c r="C14" s="474">
        <v>36</v>
      </c>
      <c r="D14" s="289">
        <v>4.3</v>
      </c>
      <c r="F14" s="1"/>
      <c r="G14" s="455"/>
      <c r="H14" s="456"/>
    </row>
    <row r="15" spans="2:8" x14ac:dyDescent="0.2">
      <c r="B15" s="474" t="s">
        <v>1560</v>
      </c>
      <c r="C15" s="288">
        <v>39</v>
      </c>
      <c r="D15" s="289">
        <v>2.2999999999999998</v>
      </c>
      <c r="G15" s="477"/>
      <c r="H15" s="289"/>
    </row>
    <row r="16" spans="2:8" x14ac:dyDescent="0.2">
      <c r="B16" s="474" t="s">
        <v>1383</v>
      </c>
      <c r="C16" s="474">
        <v>35</v>
      </c>
      <c r="D16" s="289">
        <v>52</v>
      </c>
    </row>
    <row r="17" spans="2:8" x14ac:dyDescent="0.2">
      <c r="B17" s="1" t="s">
        <v>1420</v>
      </c>
      <c r="C17" s="455">
        <v>25</v>
      </c>
      <c r="D17" s="289">
        <v>600</v>
      </c>
    </row>
    <row r="18" spans="2:8" x14ac:dyDescent="0.2">
      <c r="B18" s="474" t="s">
        <v>1392</v>
      </c>
      <c r="C18" s="474">
        <v>32</v>
      </c>
      <c r="D18" s="289">
        <v>60</v>
      </c>
      <c r="G18" s="477"/>
      <c r="H18" s="289"/>
    </row>
    <row r="19" spans="2:8" x14ac:dyDescent="0.2">
      <c r="B19" s="1" t="s">
        <v>1261</v>
      </c>
      <c r="C19" s="455">
        <v>35</v>
      </c>
      <c r="D19" s="289">
        <v>37</v>
      </c>
    </row>
    <row r="20" spans="2:8" x14ac:dyDescent="0.2">
      <c r="B20" s="474" t="s">
        <v>1402</v>
      </c>
      <c r="C20" s="477">
        <v>34</v>
      </c>
      <c r="D20" s="289">
        <v>500</v>
      </c>
      <c r="G20" s="477"/>
      <c r="H20" s="289"/>
    </row>
    <row r="21" spans="2:8" x14ac:dyDescent="0.2">
      <c r="B21" s="474" t="s">
        <v>1262</v>
      </c>
      <c r="C21" s="477">
        <v>34</v>
      </c>
      <c r="D21" s="289">
        <v>55</v>
      </c>
      <c r="F21" s="476"/>
      <c r="G21" s="477"/>
      <c r="H21" s="289"/>
    </row>
    <row r="22" spans="2:8" x14ac:dyDescent="0.2">
      <c r="B22" s="474" t="s">
        <v>1267</v>
      </c>
      <c r="C22" s="477">
        <v>33</v>
      </c>
      <c r="D22" s="289">
        <v>105</v>
      </c>
    </row>
    <row r="23" spans="2:8" x14ac:dyDescent="0.2">
      <c r="B23" s="474" t="s">
        <v>1464</v>
      </c>
      <c r="C23" s="474">
        <v>33</v>
      </c>
      <c r="D23" s="289">
        <v>1.75</v>
      </c>
      <c r="G23" s="288"/>
      <c r="H23" s="289"/>
    </row>
    <row r="24" spans="2:8" x14ac:dyDescent="0.2">
      <c r="B24" s="474" t="s">
        <v>1047</v>
      </c>
      <c r="C24" s="477">
        <v>38</v>
      </c>
      <c r="D24" s="289">
        <v>1.75</v>
      </c>
      <c r="F24" s="476"/>
      <c r="G24" s="477"/>
      <c r="H24" s="289"/>
    </row>
    <row r="25" spans="2:8" x14ac:dyDescent="0.2">
      <c r="B25" s="474" t="s">
        <v>1266</v>
      </c>
      <c r="C25" s="477">
        <v>34</v>
      </c>
      <c r="D25" s="289">
        <v>75</v>
      </c>
      <c r="G25" s="477"/>
      <c r="H25" s="289"/>
    </row>
    <row r="26" spans="2:8" x14ac:dyDescent="0.2">
      <c r="B26" s="474" t="s">
        <v>1259</v>
      </c>
      <c r="C26" s="477">
        <v>35</v>
      </c>
      <c r="D26" s="289">
        <v>15</v>
      </c>
      <c r="G26" s="477"/>
      <c r="H26" s="289"/>
    </row>
    <row r="27" spans="2:8" x14ac:dyDescent="0.2">
      <c r="B27" s="474" t="s">
        <v>1263</v>
      </c>
      <c r="C27" s="477">
        <v>34</v>
      </c>
      <c r="D27" s="289">
        <v>55</v>
      </c>
      <c r="G27" s="288"/>
      <c r="H27" s="289"/>
    </row>
    <row r="28" spans="2:8" x14ac:dyDescent="0.2">
      <c r="B28" s="474" t="s">
        <v>1048</v>
      </c>
      <c r="C28" s="477">
        <v>38</v>
      </c>
      <c r="D28" s="289">
        <v>2.5</v>
      </c>
      <c r="G28" s="477"/>
      <c r="H28" s="289"/>
    </row>
    <row r="29" spans="2:8" x14ac:dyDescent="0.2">
      <c r="B29" s="474" t="s">
        <v>1265</v>
      </c>
      <c r="C29" s="477">
        <v>34</v>
      </c>
      <c r="D29" s="289">
        <v>75</v>
      </c>
      <c r="G29" s="288"/>
      <c r="H29" s="289"/>
    </row>
    <row r="30" spans="2:8" x14ac:dyDescent="0.2">
      <c r="B30" s="474" t="s">
        <v>1049</v>
      </c>
      <c r="C30" s="288">
        <v>38</v>
      </c>
      <c r="D30" s="289">
        <v>1.75</v>
      </c>
      <c r="G30" s="288"/>
      <c r="H30" s="289"/>
    </row>
    <row r="31" spans="2:8" x14ac:dyDescent="0.2">
      <c r="B31" s="474" t="s">
        <v>1050</v>
      </c>
      <c r="C31" s="288">
        <v>38</v>
      </c>
      <c r="D31" s="289">
        <v>2.5</v>
      </c>
      <c r="G31" s="477"/>
      <c r="H31" s="289"/>
    </row>
    <row r="32" spans="2:8" x14ac:dyDescent="0.2">
      <c r="B32" s="474" t="s">
        <v>1260</v>
      </c>
      <c r="C32" s="477">
        <v>35</v>
      </c>
      <c r="D32" s="289">
        <v>33</v>
      </c>
      <c r="G32" s="477"/>
      <c r="H32" s="289"/>
    </row>
    <row r="33" spans="2:8" x14ac:dyDescent="0.2">
      <c r="B33" s="474" t="s">
        <v>1264</v>
      </c>
      <c r="C33" s="477">
        <v>34</v>
      </c>
      <c r="D33" s="289">
        <v>75</v>
      </c>
      <c r="G33" s="477"/>
      <c r="H33" s="289"/>
    </row>
    <row r="34" spans="2:8" x14ac:dyDescent="0.2">
      <c r="B34" s="474" t="s">
        <v>1181</v>
      </c>
      <c r="C34" s="477">
        <v>35</v>
      </c>
      <c r="D34" s="289">
        <v>5</v>
      </c>
      <c r="G34" s="288"/>
      <c r="H34" s="289"/>
    </row>
    <row r="35" spans="2:8" x14ac:dyDescent="0.2">
      <c r="B35" s="474" t="s">
        <v>1051</v>
      </c>
      <c r="C35" s="477">
        <v>38</v>
      </c>
      <c r="D35" s="289">
        <v>1.75</v>
      </c>
      <c r="G35" s="288"/>
      <c r="H35" s="289"/>
    </row>
    <row r="36" spans="2:8" x14ac:dyDescent="0.2">
      <c r="B36" s="474" t="s">
        <v>1052</v>
      </c>
      <c r="C36" s="477">
        <v>38</v>
      </c>
      <c r="D36" s="289">
        <v>2.5</v>
      </c>
    </row>
    <row r="37" spans="2:8" x14ac:dyDescent="0.2">
      <c r="B37" s="474" t="s">
        <v>1401</v>
      </c>
      <c r="C37" s="477">
        <v>34</v>
      </c>
      <c r="D37" s="289">
        <v>310</v>
      </c>
    </row>
    <row r="38" spans="2:8" x14ac:dyDescent="0.2">
      <c r="B38" s="474" t="s">
        <v>1490</v>
      </c>
      <c r="C38" s="477">
        <v>35</v>
      </c>
      <c r="D38" s="289">
        <v>1.75</v>
      </c>
      <c r="G38" s="288"/>
      <c r="H38" s="289"/>
    </row>
    <row r="39" spans="2:8" x14ac:dyDescent="0.2">
      <c r="B39" s="474" t="s">
        <v>1053</v>
      </c>
      <c r="C39" s="477">
        <v>37</v>
      </c>
      <c r="D39" s="289">
        <v>1.5</v>
      </c>
    </row>
    <row r="40" spans="2:8" x14ac:dyDescent="0.2">
      <c r="B40" s="474" t="s">
        <v>1434</v>
      </c>
      <c r="C40" s="477">
        <v>25</v>
      </c>
      <c r="D40" s="289">
        <v>600</v>
      </c>
      <c r="G40" s="288"/>
      <c r="H40" s="289"/>
    </row>
    <row r="41" spans="2:8" x14ac:dyDescent="0.2">
      <c r="B41" s="474" t="s">
        <v>1054</v>
      </c>
      <c r="C41" s="477">
        <v>38</v>
      </c>
      <c r="D41" s="289">
        <v>1.75</v>
      </c>
      <c r="G41" s="477"/>
      <c r="H41" s="289"/>
    </row>
    <row r="42" spans="2:8" x14ac:dyDescent="0.2">
      <c r="B42" s="474" t="s">
        <v>1268</v>
      </c>
      <c r="C42" s="477">
        <v>33</v>
      </c>
      <c r="D42" s="289">
        <v>155</v>
      </c>
      <c r="G42" s="477"/>
      <c r="H42" s="289"/>
    </row>
    <row r="43" spans="2:8" x14ac:dyDescent="0.2">
      <c r="B43" s="474" t="s">
        <v>1166</v>
      </c>
      <c r="C43" s="474">
        <v>36</v>
      </c>
      <c r="D43" s="289">
        <v>3.5</v>
      </c>
    </row>
    <row r="44" spans="2:8" x14ac:dyDescent="0.2">
      <c r="B44" s="474" t="s">
        <v>1473</v>
      </c>
      <c r="C44" s="477">
        <v>27</v>
      </c>
      <c r="D44" s="289">
        <v>2.1</v>
      </c>
    </row>
    <row r="45" spans="2:8" x14ac:dyDescent="0.2">
      <c r="B45" s="1" t="s">
        <v>1421</v>
      </c>
      <c r="C45" s="455">
        <v>25</v>
      </c>
      <c r="D45" s="289">
        <v>432.5</v>
      </c>
    </row>
    <row r="46" spans="2:8" x14ac:dyDescent="0.2">
      <c r="B46" s="474" t="s">
        <v>1422</v>
      </c>
      <c r="C46" s="477">
        <v>25</v>
      </c>
      <c r="D46" s="289">
        <v>509.5</v>
      </c>
      <c r="G46" s="477"/>
      <c r="H46" s="289"/>
    </row>
    <row r="47" spans="2:8" x14ac:dyDescent="0.2">
      <c r="B47" s="474" t="s">
        <v>1272</v>
      </c>
      <c r="C47" s="474">
        <v>33</v>
      </c>
      <c r="D47" s="289">
        <v>27</v>
      </c>
      <c r="G47" s="477"/>
      <c r="H47" s="289"/>
    </row>
    <row r="48" spans="2:8" x14ac:dyDescent="0.2">
      <c r="B48" s="474" t="s">
        <v>1271</v>
      </c>
      <c r="C48" s="477">
        <v>33</v>
      </c>
      <c r="D48" s="289">
        <v>19.5</v>
      </c>
      <c r="G48" s="477"/>
      <c r="H48" s="289"/>
    </row>
    <row r="49" spans="2:8" x14ac:dyDescent="0.2">
      <c r="B49" s="474" t="s">
        <v>1270</v>
      </c>
      <c r="C49" s="477">
        <v>33</v>
      </c>
      <c r="D49" s="289">
        <v>12</v>
      </c>
      <c r="G49" s="477"/>
      <c r="H49" s="289"/>
    </row>
    <row r="50" spans="2:8" x14ac:dyDescent="0.2">
      <c r="B50" s="474" t="s">
        <v>1273</v>
      </c>
      <c r="C50" s="474">
        <v>33</v>
      </c>
      <c r="D50" s="289">
        <v>34.5</v>
      </c>
      <c r="G50" s="477"/>
      <c r="H50" s="289"/>
    </row>
    <row r="51" spans="2:8" x14ac:dyDescent="0.2">
      <c r="B51" s="474" t="s">
        <v>1274</v>
      </c>
      <c r="C51" s="474">
        <v>33</v>
      </c>
      <c r="D51" s="289">
        <v>45.5</v>
      </c>
      <c r="G51" s="477"/>
      <c r="H51" s="289"/>
    </row>
    <row r="52" spans="2:8" x14ac:dyDescent="0.2">
      <c r="B52" s="474" t="s">
        <v>1275</v>
      </c>
      <c r="C52" s="474">
        <v>33</v>
      </c>
      <c r="D52" s="289">
        <v>63</v>
      </c>
      <c r="G52" s="477"/>
      <c r="H52" s="289"/>
    </row>
    <row r="53" spans="2:8" x14ac:dyDescent="0.2">
      <c r="B53" s="474" t="s">
        <v>1269</v>
      </c>
      <c r="C53" s="477">
        <v>33</v>
      </c>
      <c r="D53" s="289">
        <v>2.2999999999999998</v>
      </c>
    </row>
    <row r="54" spans="2:8" x14ac:dyDescent="0.2">
      <c r="B54" s="474" t="s">
        <v>1465</v>
      </c>
      <c r="C54" s="474">
        <v>33</v>
      </c>
      <c r="D54" s="289">
        <v>1.4</v>
      </c>
    </row>
    <row r="55" spans="2:8" x14ac:dyDescent="0.2">
      <c r="B55" s="474" t="s">
        <v>1403</v>
      </c>
      <c r="C55" s="477">
        <v>34</v>
      </c>
      <c r="D55" s="289">
        <v>340</v>
      </c>
      <c r="G55" s="288"/>
      <c r="H55" s="289"/>
    </row>
    <row r="56" spans="2:8" x14ac:dyDescent="0.2">
      <c r="B56" s="1" t="s">
        <v>1055</v>
      </c>
      <c r="C56" s="455">
        <v>37</v>
      </c>
      <c r="D56" s="289">
        <v>1.5</v>
      </c>
      <c r="G56" s="477"/>
      <c r="H56" s="289"/>
    </row>
    <row r="57" spans="2:8" x14ac:dyDescent="0.2">
      <c r="B57" s="476" t="s">
        <v>1211</v>
      </c>
      <c r="C57" s="477">
        <v>39</v>
      </c>
      <c r="D57" s="289">
        <v>1.6</v>
      </c>
      <c r="G57" s="477"/>
      <c r="H57" s="289"/>
    </row>
    <row r="58" spans="2:8" x14ac:dyDescent="0.2">
      <c r="B58" s="474" t="s">
        <v>1376</v>
      </c>
      <c r="C58" s="477">
        <v>37</v>
      </c>
      <c r="D58" s="289">
        <v>27</v>
      </c>
      <c r="G58" s="477"/>
      <c r="H58" s="289"/>
    </row>
    <row r="59" spans="2:8" x14ac:dyDescent="0.2">
      <c r="B59" s="474" t="s">
        <v>1377</v>
      </c>
      <c r="C59" s="477">
        <v>37</v>
      </c>
      <c r="D59" s="289">
        <v>19.5</v>
      </c>
      <c r="G59" s="477"/>
      <c r="H59" s="289"/>
    </row>
    <row r="60" spans="2:8" x14ac:dyDescent="0.2">
      <c r="B60" s="474" t="s">
        <v>1183</v>
      </c>
      <c r="C60" s="477">
        <v>35</v>
      </c>
      <c r="D60" s="289">
        <v>6.3</v>
      </c>
      <c r="G60" s="477"/>
      <c r="H60" s="289"/>
    </row>
    <row r="61" spans="2:8" x14ac:dyDescent="0.2">
      <c r="B61" s="474" t="s">
        <v>1182</v>
      </c>
      <c r="C61" s="477">
        <v>35</v>
      </c>
      <c r="D61" s="289">
        <v>11</v>
      </c>
      <c r="G61" s="288"/>
      <c r="H61" s="289"/>
    </row>
    <row r="62" spans="2:8" x14ac:dyDescent="0.2">
      <c r="B62" s="474" t="s">
        <v>1056</v>
      </c>
      <c r="C62" s="477">
        <v>37</v>
      </c>
      <c r="D62" s="289">
        <v>5.9</v>
      </c>
    </row>
    <row r="63" spans="2:8" x14ac:dyDescent="0.2">
      <c r="B63" s="474" t="s">
        <v>1492</v>
      </c>
      <c r="C63" s="477">
        <v>35</v>
      </c>
      <c r="D63" s="289">
        <v>2.6</v>
      </c>
      <c r="G63" s="288"/>
      <c r="H63" s="289"/>
    </row>
    <row r="64" spans="2:8" x14ac:dyDescent="0.2">
      <c r="B64" s="474" t="s">
        <v>1057</v>
      </c>
      <c r="C64" s="474">
        <v>37</v>
      </c>
      <c r="D64" s="289">
        <v>2</v>
      </c>
      <c r="G64" s="477"/>
      <c r="H64" s="289"/>
    </row>
    <row r="65" spans="2:8" x14ac:dyDescent="0.2">
      <c r="B65" s="474" t="s">
        <v>1382</v>
      </c>
      <c r="C65" s="477">
        <v>35</v>
      </c>
      <c r="D65" s="289">
        <v>12</v>
      </c>
    </row>
    <row r="66" spans="2:8" x14ac:dyDescent="0.2">
      <c r="B66" s="474" t="s">
        <v>1435</v>
      </c>
      <c r="C66" s="477">
        <v>25</v>
      </c>
      <c r="D66" s="289">
        <v>490</v>
      </c>
    </row>
    <row r="67" spans="2:8" x14ac:dyDescent="0.2">
      <c r="B67" s="474" t="s">
        <v>1491</v>
      </c>
      <c r="C67" s="477">
        <v>35</v>
      </c>
      <c r="D67" s="289">
        <v>5.8</v>
      </c>
      <c r="G67" s="477"/>
      <c r="H67" s="289"/>
    </row>
    <row r="68" spans="2:8" x14ac:dyDescent="0.2">
      <c r="B68" s="474" t="s">
        <v>1276</v>
      </c>
      <c r="C68" s="474">
        <v>33</v>
      </c>
      <c r="D68" s="289">
        <v>132.5</v>
      </c>
      <c r="G68" s="477"/>
      <c r="H68" s="289"/>
    </row>
    <row r="69" spans="2:8" x14ac:dyDescent="0.2">
      <c r="B69" s="474" t="s">
        <v>1255</v>
      </c>
      <c r="C69" s="477">
        <v>37</v>
      </c>
      <c r="D69" s="289">
        <v>2.2999999999999998</v>
      </c>
      <c r="G69" s="477"/>
      <c r="H69" s="289"/>
    </row>
    <row r="70" spans="2:8" x14ac:dyDescent="0.2">
      <c r="B70" s="474" t="s">
        <v>1167</v>
      </c>
      <c r="C70" s="474">
        <v>36</v>
      </c>
      <c r="D70" s="289">
        <v>3.8</v>
      </c>
      <c r="G70" s="477"/>
      <c r="H70" s="289"/>
    </row>
    <row r="71" spans="2:8" x14ac:dyDescent="0.2">
      <c r="B71" s="476" t="s">
        <v>1212</v>
      </c>
      <c r="C71" s="477">
        <v>39</v>
      </c>
      <c r="D71" s="289">
        <v>2.2999999999999998</v>
      </c>
      <c r="G71" s="477"/>
      <c r="H71" s="289"/>
    </row>
    <row r="72" spans="2:8" x14ac:dyDescent="0.2">
      <c r="B72" s="474" t="s">
        <v>1213</v>
      </c>
      <c r="C72" s="477">
        <v>39</v>
      </c>
      <c r="D72" s="289">
        <v>7.2</v>
      </c>
      <c r="G72" s="477"/>
      <c r="H72" s="289"/>
    </row>
    <row r="73" spans="2:8" x14ac:dyDescent="0.2">
      <c r="B73" s="474" t="s">
        <v>136</v>
      </c>
      <c r="C73" s="477"/>
    </row>
    <row r="74" spans="2:8" x14ac:dyDescent="0.2">
      <c r="B74" s="1" t="s">
        <v>142</v>
      </c>
      <c r="C74" s="455"/>
      <c r="G74" s="477"/>
      <c r="H74" s="289"/>
    </row>
    <row r="75" spans="2:8" x14ac:dyDescent="0.2">
      <c r="B75" s="474" t="s">
        <v>1277</v>
      </c>
      <c r="C75" s="474">
        <v>37</v>
      </c>
      <c r="D75" s="289">
        <v>25</v>
      </c>
    </row>
    <row r="76" spans="2:8" x14ac:dyDescent="0.2">
      <c r="B76" s="474" t="s">
        <v>1499</v>
      </c>
      <c r="C76" s="477">
        <v>36.999999999999922</v>
      </c>
      <c r="D76" s="289">
        <v>6</v>
      </c>
      <c r="G76" s="477"/>
      <c r="H76" s="289"/>
    </row>
    <row r="77" spans="2:8" x14ac:dyDescent="0.2">
      <c r="B77" s="474" t="s">
        <v>1184</v>
      </c>
      <c r="C77" s="474">
        <v>35</v>
      </c>
      <c r="D77" s="289">
        <v>20</v>
      </c>
      <c r="G77" s="288"/>
      <c r="H77" s="289"/>
    </row>
    <row r="78" spans="2:8" x14ac:dyDescent="0.2">
      <c r="B78" s="474" t="s">
        <v>1058</v>
      </c>
      <c r="C78" s="474">
        <v>37</v>
      </c>
      <c r="D78" s="289">
        <v>5.3</v>
      </c>
    </row>
    <row r="79" spans="2:8" x14ac:dyDescent="0.2">
      <c r="B79" s="474" t="s">
        <v>1423</v>
      </c>
      <c r="C79" s="477">
        <v>25</v>
      </c>
      <c r="D79" s="289">
        <v>500</v>
      </c>
    </row>
    <row r="80" spans="2:8" x14ac:dyDescent="0.2">
      <c r="B80" s="474" t="s">
        <v>1424</v>
      </c>
      <c r="C80" s="477">
        <v>25</v>
      </c>
      <c r="D80" s="289">
        <v>500</v>
      </c>
    </row>
    <row r="81" spans="2:8" x14ac:dyDescent="0.2">
      <c r="B81" s="474" t="s">
        <v>1425</v>
      </c>
      <c r="C81" s="477">
        <v>25</v>
      </c>
      <c r="D81" s="289">
        <v>500</v>
      </c>
    </row>
    <row r="82" spans="2:8" x14ac:dyDescent="0.2">
      <c r="B82" s="474" t="s">
        <v>1451</v>
      </c>
      <c r="C82" s="477">
        <v>25</v>
      </c>
      <c r="D82" s="289">
        <v>500</v>
      </c>
      <c r="G82" s="477"/>
      <c r="H82" s="289"/>
    </row>
    <row r="83" spans="2:8" x14ac:dyDescent="0.2">
      <c r="B83" s="474" t="s">
        <v>1246</v>
      </c>
      <c r="C83" s="474">
        <v>33</v>
      </c>
      <c r="D83" s="289">
        <v>6</v>
      </c>
      <c r="G83" s="477"/>
      <c r="H83" s="289"/>
    </row>
    <row r="84" spans="2:8" x14ac:dyDescent="0.2">
      <c r="B84" s="474" t="s">
        <v>1185</v>
      </c>
      <c r="C84" s="474">
        <v>35</v>
      </c>
      <c r="D84" s="289">
        <v>10</v>
      </c>
      <c r="G84" s="288"/>
      <c r="H84" s="289"/>
    </row>
    <row r="85" spans="2:8" x14ac:dyDescent="0.2">
      <c r="B85" s="474" t="s">
        <v>1635</v>
      </c>
      <c r="C85" s="477">
        <v>36.000000000000028</v>
      </c>
      <c r="D85" s="289">
        <v>1.8</v>
      </c>
    </row>
    <row r="86" spans="2:8" x14ac:dyDescent="0.2">
      <c r="B86" s="474" t="s">
        <v>1636</v>
      </c>
      <c r="C86" s="477">
        <v>36.000000000000028</v>
      </c>
      <c r="D86" s="289">
        <v>1.2</v>
      </c>
      <c r="G86" s="477"/>
      <c r="H86" s="289"/>
    </row>
    <row r="87" spans="2:8" x14ac:dyDescent="0.2">
      <c r="B87" s="474" t="s">
        <v>1059</v>
      </c>
      <c r="C87" s="477">
        <v>36.000000000000028</v>
      </c>
      <c r="D87" s="289">
        <v>1.8</v>
      </c>
      <c r="G87" s="477"/>
      <c r="H87" s="289"/>
    </row>
    <row r="88" spans="2:8" x14ac:dyDescent="0.2">
      <c r="B88" s="474" t="s">
        <v>1637</v>
      </c>
      <c r="C88" s="474">
        <v>36.000000000000028</v>
      </c>
      <c r="D88" s="289">
        <v>2.2999999999999998</v>
      </c>
      <c r="G88" s="477"/>
      <c r="H88" s="289"/>
    </row>
    <row r="89" spans="2:8" x14ac:dyDescent="0.2">
      <c r="B89" s="474" t="s">
        <v>1638</v>
      </c>
      <c r="C89" s="477">
        <v>36.000000000000028</v>
      </c>
      <c r="D89" s="289">
        <v>1.9</v>
      </c>
      <c r="G89" s="477"/>
      <c r="H89" s="289"/>
    </row>
    <row r="90" spans="2:8" x14ac:dyDescent="0.2">
      <c r="B90" s="474" t="s">
        <v>1639</v>
      </c>
      <c r="C90" s="477">
        <v>36.000000000000028</v>
      </c>
      <c r="D90" s="289">
        <v>1.9</v>
      </c>
      <c r="G90" s="477"/>
      <c r="H90" s="289"/>
    </row>
    <row r="91" spans="2:8" x14ac:dyDescent="0.2">
      <c r="B91" s="474" t="s">
        <v>1640</v>
      </c>
      <c r="C91" s="477">
        <v>36.000000000000028</v>
      </c>
      <c r="D91" s="289">
        <v>1.6</v>
      </c>
      <c r="G91" s="477"/>
      <c r="H91" s="289"/>
    </row>
    <row r="92" spans="2:8" x14ac:dyDescent="0.2">
      <c r="B92" s="474" t="s">
        <v>1641</v>
      </c>
      <c r="C92" s="477">
        <v>36.000000000000028</v>
      </c>
      <c r="D92" s="289">
        <v>1</v>
      </c>
      <c r="G92" s="477"/>
      <c r="H92" s="289"/>
    </row>
    <row r="93" spans="2:8" x14ac:dyDescent="0.2">
      <c r="B93" s="474" t="s">
        <v>1391</v>
      </c>
      <c r="C93" s="474">
        <v>34.000000000000028</v>
      </c>
      <c r="D93" s="289">
        <v>55</v>
      </c>
      <c r="G93" s="477"/>
      <c r="H93" s="289"/>
    </row>
    <row r="94" spans="2:8" x14ac:dyDescent="0.2">
      <c r="B94" s="474" t="s">
        <v>1281</v>
      </c>
      <c r="C94" s="477">
        <v>35</v>
      </c>
      <c r="D94" s="289">
        <v>55</v>
      </c>
      <c r="G94" s="477"/>
      <c r="H94" s="289"/>
    </row>
    <row r="95" spans="2:8" x14ac:dyDescent="0.2">
      <c r="B95" s="474" t="s">
        <v>115</v>
      </c>
      <c r="C95" s="474">
        <v>35</v>
      </c>
      <c r="D95" s="289">
        <v>10</v>
      </c>
      <c r="G95" s="477"/>
      <c r="H95" s="289"/>
    </row>
    <row r="96" spans="2:8" x14ac:dyDescent="0.2">
      <c r="B96" s="474" t="s">
        <v>122</v>
      </c>
      <c r="C96" s="474">
        <v>33</v>
      </c>
      <c r="D96" s="289">
        <v>120</v>
      </c>
      <c r="G96" s="477"/>
      <c r="H96" s="289"/>
    </row>
    <row r="97" spans="2:8" x14ac:dyDescent="0.2">
      <c r="B97" s="474" t="s">
        <v>116</v>
      </c>
      <c r="C97" s="474">
        <v>35</v>
      </c>
      <c r="D97" s="289">
        <v>20</v>
      </c>
      <c r="G97" s="477"/>
      <c r="H97" s="289"/>
    </row>
    <row r="98" spans="2:8" x14ac:dyDescent="0.2">
      <c r="B98" s="474" t="s">
        <v>117</v>
      </c>
      <c r="C98" s="474">
        <v>35</v>
      </c>
      <c r="D98" s="289">
        <v>30</v>
      </c>
    </row>
    <row r="99" spans="2:8" x14ac:dyDescent="0.2">
      <c r="B99" s="474" t="s">
        <v>118</v>
      </c>
      <c r="C99" s="474">
        <v>34.000000000000028</v>
      </c>
      <c r="D99" s="289">
        <v>40</v>
      </c>
    </row>
    <row r="100" spans="2:8" x14ac:dyDescent="0.2">
      <c r="B100" s="474" t="s">
        <v>119</v>
      </c>
      <c r="C100" s="474">
        <v>34.000000000000028</v>
      </c>
      <c r="D100" s="289">
        <v>60</v>
      </c>
    </row>
    <row r="101" spans="2:8" x14ac:dyDescent="0.2">
      <c r="B101" s="474" t="s">
        <v>120</v>
      </c>
      <c r="C101" s="474">
        <v>34.000000000000028</v>
      </c>
      <c r="D101" s="289">
        <v>80</v>
      </c>
    </row>
    <row r="102" spans="2:8" x14ac:dyDescent="0.2">
      <c r="B102" s="474" t="s">
        <v>121</v>
      </c>
      <c r="C102" s="474">
        <v>34.000000000000028</v>
      </c>
      <c r="D102" s="289">
        <v>90</v>
      </c>
    </row>
    <row r="103" spans="2:8" x14ac:dyDescent="0.2">
      <c r="B103" s="474" t="s">
        <v>1279</v>
      </c>
      <c r="C103" s="288">
        <v>34.000000000000028</v>
      </c>
      <c r="D103" s="289">
        <v>60</v>
      </c>
      <c r="F103" s="476"/>
      <c r="G103" s="477"/>
      <c r="H103" s="289"/>
    </row>
    <row r="104" spans="2:8" x14ac:dyDescent="0.2">
      <c r="B104" s="474" t="s">
        <v>1282</v>
      </c>
      <c r="C104" s="477">
        <v>35</v>
      </c>
      <c r="D104" s="289">
        <v>60</v>
      </c>
      <c r="G104" s="477"/>
      <c r="H104" s="289"/>
    </row>
    <row r="105" spans="2:8" x14ac:dyDescent="0.2">
      <c r="B105" s="474" t="s">
        <v>1278</v>
      </c>
      <c r="C105" s="474">
        <v>35</v>
      </c>
      <c r="D105" s="289">
        <v>20</v>
      </c>
      <c r="G105" s="288"/>
      <c r="H105" s="289"/>
    </row>
    <row r="106" spans="2:8" x14ac:dyDescent="0.2">
      <c r="B106" s="474" t="s">
        <v>1466</v>
      </c>
      <c r="C106" s="477">
        <v>33</v>
      </c>
      <c r="D106" s="289">
        <v>1.5</v>
      </c>
      <c r="G106" s="477"/>
      <c r="H106" s="289"/>
    </row>
    <row r="107" spans="2:8" x14ac:dyDescent="0.2">
      <c r="B107" s="474" t="s">
        <v>1467</v>
      </c>
      <c r="C107" s="474">
        <v>33</v>
      </c>
      <c r="D107" s="289">
        <v>20</v>
      </c>
    </row>
    <row r="108" spans="2:8" x14ac:dyDescent="0.2">
      <c r="B108" s="474" t="s">
        <v>1500</v>
      </c>
      <c r="C108" s="477">
        <v>36.999999999999922</v>
      </c>
      <c r="D108" s="289">
        <v>5</v>
      </c>
    </row>
    <row r="109" spans="2:8" x14ac:dyDescent="0.2">
      <c r="B109" s="474" t="s">
        <v>1404</v>
      </c>
      <c r="C109" s="288">
        <v>34.000000000000028</v>
      </c>
      <c r="D109" s="289">
        <v>350</v>
      </c>
      <c r="G109" s="288"/>
      <c r="H109" s="289"/>
    </row>
    <row r="110" spans="2:8" x14ac:dyDescent="0.2">
      <c r="B110" s="474" t="s">
        <v>1405</v>
      </c>
      <c r="C110" s="477">
        <v>34.000000000000028</v>
      </c>
      <c r="D110" s="289">
        <v>420</v>
      </c>
      <c r="G110" s="288"/>
      <c r="H110" s="289"/>
    </row>
    <row r="111" spans="2:8" x14ac:dyDescent="0.2">
      <c r="B111" s="474" t="s">
        <v>1186</v>
      </c>
      <c r="C111" s="474">
        <v>35</v>
      </c>
      <c r="D111" s="289">
        <v>30</v>
      </c>
    </row>
    <row r="112" spans="2:8" x14ac:dyDescent="0.2">
      <c r="B112" s="474" t="s">
        <v>1280</v>
      </c>
      <c r="C112" s="474">
        <v>33</v>
      </c>
      <c r="D112" s="289">
        <v>130</v>
      </c>
      <c r="G112" s="477"/>
      <c r="H112" s="289"/>
    </row>
    <row r="113" spans="2:8" x14ac:dyDescent="0.2">
      <c r="B113" s="474" t="s">
        <v>1060</v>
      </c>
      <c r="C113" s="474">
        <v>36.000000000000028</v>
      </c>
      <c r="D113" s="289">
        <v>1.7</v>
      </c>
      <c r="F113" s="476"/>
      <c r="G113" s="288"/>
      <c r="H113" s="289"/>
    </row>
    <row r="114" spans="2:8" x14ac:dyDescent="0.2">
      <c r="B114" s="474" t="s">
        <v>1168</v>
      </c>
      <c r="C114" s="474">
        <v>36.000000000000028</v>
      </c>
      <c r="D114" s="289">
        <v>3.5</v>
      </c>
      <c r="G114" s="477"/>
      <c r="H114" s="289"/>
    </row>
    <row r="115" spans="2:8" x14ac:dyDescent="0.2">
      <c r="B115" s="474" t="s">
        <v>1501</v>
      </c>
      <c r="C115" s="477">
        <v>36.999999999999922</v>
      </c>
      <c r="D115" s="289">
        <v>5</v>
      </c>
      <c r="G115" s="477"/>
      <c r="H115" s="289"/>
    </row>
    <row r="116" spans="2:8" x14ac:dyDescent="0.2">
      <c r="B116" s="474" t="s">
        <v>1454</v>
      </c>
      <c r="C116" s="477">
        <v>25</v>
      </c>
      <c r="D116" s="289">
        <v>550</v>
      </c>
      <c r="G116" s="477"/>
      <c r="H116" s="289"/>
    </row>
    <row r="117" spans="2:8" x14ac:dyDescent="0.2">
      <c r="B117" s="474" t="s">
        <v>1061</v>
      </c>
      <c r="C117" s="477">
        <v>36.000000000000028</v>
      </c>
      <c r="D117" s="289">
        <v>3.5</v>
      </c>
      <c r="G117" s="477"/>
      <c r="H117" s="289"/>
    </row>
    <row r="118" spans="2:8" x14ac:dyDescent="0.2">
      <c r="B118" s="476" t="s">
        <v>1062</v>
      </c>
      <c r="C118" s="477">
        <v>36.000000000000028</v>
      </c>
      <c r="D118" s="289">
        <v>1.2</v>
      </c>
      <c r="G118" s="477"/>
      <c r="H118" s="289"/>
    </row>
    <row r="119" spans="2:8" x14ac:dyDescent="0.2">
      <c r="B119" s="474" t="s">
        <v>1436</v>
      </c>
      <c r="C119" s="474">
        <v>25</v>
      </c>
      <c r="D119" s="289">
        <v>300</v>
      </c>
    </row>
    <row r="120" spans="2:8" x14ac:dyDescent="0.2">
      <c r="B120" s="474" t="s">
        <v>1236</v>
      </c>
      <c r="C120" s="474">
        <v>29</v>
      </c>
      <c r="D120" s="289">
        <v>3.7</v>
      </c>
    </row>
    <row r="121" spans="2:8" x14ac:dyDescent="0.2">
      <c r="B121" s="474" t="s">
        <v>1642</v>
      </c>
      <c r="C121" s="477">
        <v>36.000000000000028</v>
      </c>
      <c r="D121" s="289">
        <v>2.7</v>
      </c>
    </row>
    <row r="122" spans="2:8" x14ac:dyDescent="0.2">
      <c r="B122" s="474" t="s">
        <v>1643</v>
      </c>
      <c r="C122" s="477">
        <v>36.000000000000028</v>
      </c>
      <c r="D122" s="289">
        <v>2.7</v>
      </c>
      <c r="G122" s="288"/>
      <c r="H122" s="289"/>
    </row>
    <row r="123" spans="2:8" x14ac:dyDescent="0.2">
      <c r="B123" s="474" t="s">
        <v>1384</v>
      </c>
      <c r="C123" s="477">
        <v>33</v>
      </c>
      <c r="D123" s="289">
        <v>40</v>
      </c>
      <c r="G123" s="477"/>
      <c r="H123" s="289"/>
    </row>
    <row r="124" spans="2:8" x14ac:dyDescent="0.2">
      <c r="B124" s="474" t="s">
        <v>1063</v>
      </c>
      <c r="C124" s="474">
        <v>40</v>
      </c>
      <c r="D124" s="289">
        <v>1.8</v>
      </c>
      <c r="G124" s="288"/>
      <c r="H124" s="289"/>
    </row>
    <row r="125" spans="2:8" x14ac:dyDescent="0.2">
      <c r="B125" s="474" t="s">
        <v>1064</v>
      </c>
      <c r="C125" s="288">
        <v>40</v>
      </c>
      <c r="D125" s="289">
        <v>1.8</v>
      </c>
      <c r="G125" s="288"/>
      <c r="H125" s="289"/>
    </row>
    <row r="126" spans="2:8" x14ac:dyDescent="0.2">
      <c r="B126" s="474" t="s">
        <v>1368</v>
      </c>
      <c r="C126" s="477">
        <v>34.000000000000028</v>
      </c>
      <c r="D126" s="289">
        <v>28</v>
      </c>
      <c r="G126" s="288"/>
      <c r="H126" s="289"/>
    </row>
    <row r="127" spans="2:8" x14ac:dyDescent="0.2">
      <c r="B127" s="474" t="s">
        <v>1214</v>
      </c>
      <c r="C127" s="474">
        <v>37</v>
      </c>
      <c r="D127" s="289">
        <v>2.2999999999999998</v>
      </c>
      <c r="F127" s="476"/>
      <c r="G127" s="477"/>
      <c r="H127" s="289"/>
    </row>
    <row r="128" spans="2:8" x14ac:dyDescent="0.2">
      <c r="B128" s="474" t="s">
        <v>1214</v>
      </c>
      <c r="C128" s="477">
        <v>40.000000000000036</v>
      </c>
      <c r="D128" s="289">
        <v>2.5</v>
      </c>
      <c r="F128" s="1"/>
      <c r="G128" s="455"/>
      <c r="H128" s="456"/>
    </row>
    <row r="129" spans="2:8" x14ac:dyDescent="0.2">
      <c r="B129" s="474" t="s">
        <v>1644</v>
      </c>
      <c r="C129" s="474">
        <v>36.000000000000028</v>
      </c>
      <c r="D129" s="289">
        <v>1.9</v>
      </c>
      <c r="G129" s="477"/>
      <c r="H129" s="289"/>
    </row>
    <row r="130" spans="2:8" x14ac:dyDescent="0.2">
      <c r="B130" s="474" t="s">
        <v>139</v>
      </c>
      <c r="C130" s="474"/>
      <c r="G130" s="477"/>
      <c r="H130" s="289"/>
    </row>
    <row r="131" spans="2:8" x14ac:dyDescent="0.2">
      <c r="B131" s="476" t="s">
        <v>1504</v>
      </c>
      <c r="C131" s="477">
        <v>46.000000000000043</v>
      </c>
      <c r="D131" s="289">
        <v>8</v>
      </c>
      <c r="F131" s="476"/>
      <c r="G131" s="288"/>
      <c r="H131" s="289"/>
    </row>
    <row r="132" spans="2:8" x14ac:dyDescent="0.2">
      <c r="B132" s="474" t="s">
        <v>1504</v>
      </c>
      <c r="C132" s="477">
        <v>46.000000000000043</v>
      </c>
      <c r="D132" s="289">
        <v>50</v>
      </c>
      <c r="G132" s="477"/>
      <c r="H132" s="289"/>
    </row>
    <row r="133" spans="2:8" x14ac:dyDescent="0.2">
      <c r="B133" s="474" t="s">
        <v>1070</v>
      </c>
      <c r="C133" s="288">
        <v>37</v>
      </c>
      <c r="D133" s="289">
        <v>1.7999999999999998</v>
      </c>
      <c r="G133" s="477"/>
      <c r="H133" s="289"/>
    </row>
    <row r="134" spans="2:8" x14ac:dyDescent="0.2">
      <c r="B134" s="474" t="s">
        <v>1237</v>
      </c>
      <c r="C134" s="474">
        <v>29</v>
      </c>
      <c r="D134" s="289">
        <v>2.65</v>
      </c>
      <c r="G134" s="288"/>
      <c r="H134" s="289"/>
    </row>
    <row r="135" spans="2:8" x14ac:dyDescent="0.2">
      <c r="B135" s="476" t="s">
        <v>1065</v>
      </c>
      <c r="C135" s="477">
        <v>37</v>
      </c>
      <c r="D135" s="289">
        <v>1.85</v>
      </c>
      <c r="G135" s="477"/>
      <c r="H135" s="289"/>
    </row>
    <row r="136" spans="2:8" x14ac:dyDescent="0.2">
      <c r="B136" s="474" t="s">
        <v>1066</v>
      </c>
      <c r="C136" s="477">
        <v>37</v>
      </c>
      <c r="D136" s="289">
        <v>2.2000000000000002</v>
      </c>
      <c r="G136" s="477"/>
      <c r="H136" s="289"/>
    </row>
    <row r="137" spans="2:8" x14ac:dyDescent="0.2">
      <c r="B137" s="474" t="s">
        <v>1069</v>
      </c>
      <c r="C137" s="477">
        <v>37</v>
      </c>
      <c r="D137" s="289">
        <v>2.7</v>
      </c>
    </row>
    <row r="138" spans="2:8" x14ac:dyDescent="0.2">
      <c r="B138" s="474" t="s">
        <v>1072</v>
      </c>
      <c r="C138" s="477">
        <v>37</v>
      </c>
      <c r="D138" s="289">
        <v>2.85</v>
      </c>
    </row>
    <row r="139" spans="2:8" x14ac:dyDescent="0.2">
      <c r="B139" s="474" t="s">
        <v>1187</v>
      </c>
      <c r="C139" s="477">
        <v>35</v>
      </c>
      <c r="D139" s="289">
        <v>10.5</v>
      </c>
    </row>
    <row r="140" spans="2:8" x14ac:dyDescent="0.2">
      <c r="B140" s="474" t="s">
        <v>1074</v>
      </c>
      <c r="C140" s="477">
        <v>37</v>
      </c>
      <c r="D140" s="289">
        <v>2.85</v>
      </c>
    </row>
    <row r="141" spans="2:8" x14ac:dyDescent="0.2">
      <c r="B141" s="474" t="s">
        <v>1247</v>
      </c>
      <c r="C141" s="474">
        <v>37</v>
      </c>
      <c r="D141" s="289">
        <v>2.6</v>
      </c>
    </row>
    <row r="142" spans="2:8" x14ac:dyDescent="0.2">
      <c r="B142" s="474" t="s">
        <v>1071</v>
      </c>
      <c r="C142" s="288">
        <v>37</v>
      </c>
      <c r="D142" s="289">
        <v>2.85</v>
      </c>
    </row>
    <row r="143" spans="2:8" x14ac:dyDescent="0.2">
      <c r="B143" s="474" t="s">
        <v>1073</v>
      </c>
      <c r="C143" s="477">
        <v>37</v>
      </c>
      <c r="D143" s="289">
        <v>2.9</v>
      </c>
    </row>
    <row r="144" spans="2:8" x14ac:dyDescent="0.2">
      <c r="B144" s="474" t="s">
        <v>1215</v>
      </c>
      <c r="C144" s="477">
        <v>40.000000000000036</v>
      </c>
      <c r="D144" s="289">
        <v>3</v>
      </c>
    </row>
    <row r="145" spans="2:8" x14ac:dyDescent="0.2">
      <c r="B145" s="474" t="s">
        <v>1068</v>
      </c>
      <c r="C145" s="288">
        <v>37</v>
      </c>
      <c r="D145" s="289">
        <v>3.15</v>
      </c>
    </row>
    <row r="146" spans="2:8" x14ac:dyDescent="0.2">
      <c r="B146" s="474" t="s">
        <v>1067</v>
      </c>
      <c r="C146" s="477">
        <v>37</v>
      </c>
      <c r="D146" s="289">
        <v>1.5</v>
      </c>
    </row>
    <row r="147" spans="2:8" x14ac:dyDescent="0.2">
      <c r="B147" s="474" t="s">
        <v>1216</v>
      </c>
      <c r="C147" s="477">
        <v>40.000000000000036</v>
      </c>
      <c r="D147" s="289">
        <v>3.5</v>
      </c>
    </row>
    <row r="148" spans="2:8" x14ac:dyDescent="0.2">
      <c r="B148" s="474" t="s">
        <v>1546</v>
      </c>
      <c r="C148" s="477">
        <v>46</v>
      </c>
      <c r="D148" s="289">
        <v>275</v>
      </c>
    </row>
    <row r="149" spans="2:8" x14ac:dyDescent="0.2">
      <c r="B149" s="474" t="s">
        <v>1545</v>
      </c>
      <c r="C149" s="288">
        <v>46.000000000000043</v>
      </c>
      <c r="D149" s="289">
        <v>0</v>
      </c>
    </row>
    <row r="150" spans="2:8" x14ac:dyDescent="0.2">
      <c r="B150" s="474" t="s">
        <v>1547</v>
      </c>
      <c r="C150" s="477">
        <v>41</v>
      </c>
      <c r="D150" s="289">
        <v>0</v>
      </c>
    </row>
    <row r="151" spans="2:8" x14ac:dyDescent="0.2">
      <c r="B151" s="474" t="s">
        <v>1549</v>
      </c>
      <c r="C151" s="477">
        <v>41</v>
      </c>
      <c r="D151" s="289">
        <v>36</v>
      </c>
    </row>
    <row r="152" spans="2:8" x14ac:dyDescent="0.2">
      <c r="B152" s="474" t="s">
        <v>1548</v>
      </c>
      <c r="C152" s="288">
        <v>41</v>
      </c>
      <c r="D152" s="289">
        <v>22</v>
      </c>
      <c r="G152" s="477"/>
      <c r="H152" s="289"/>
    </row>
    <row r="153" spans="2:8" x14ac:dyDescent="0.2">
      <c r="B153" s="474" t="s">
        <v>1505</v>
      </c>
      <c r="C153" s="288">
        <v>32.000000000000028</v>
      </c>
      <c r="D153" s="289">
        <v>180</v>
      </c>
    </row>
    <row r="154" spans="2:8" x14ac:dyDescent="0.2">
      <c r="B154" s="474" t="s">
        <v>1506</v>
      </c>
      <c r="C154" s="288">
        <v>32.000000000000028</v>
      </c>
      <c r="D154" s="289">
        <v>240</v>
      </c>
      <c r="G154" s="288"/>
      <c r="H154" s="289"/>
    </row>
    <row r="155" spans="2:8" x14ac:dyDescent="0.2">
      <c r="B155" s="474" t="s">
        <v>1507</v>
      </c>
      <c r="C155" s="288">
        <v>32.000000000000028</v>
      </c>
      <c r="D155" s="289">
        <v>45</v>
      </c>
      <c r="G155" s="477"/>
      <c r="H155" s="289"/>
    </row>
    <row r="156" spans="2:8" x14ac:dyDescent="0.2">
      <c r="B156" s="474" t="s">
        <v>1508</v>
      </c>
      <c r="C156" s="288">
        <v>32.000000000000028</v>
      </c>
      <c r="D156" s="289">
        <v>90</v>
      </c>
      <c r="G156" s="477"/>
      <c r="H156" s="289"/>
    </row>
    <row r="157" spans="2:8" x14ac:dyDescent="0.2">
      <c r="B157" s="474" t="s">
        <v>1509</v>
      </c>
      <c r="C157" s="288">
        <v>32.000000000000028</v>
      </c>
      <c r="D157" s="289">
        <v>5</v>
      </c>
      <c r="G157" s="288"/>
      <c r="H157" s="289"/>
    </row>
    <row r="158" spans="2:8" x14ac:dyDescent="0.2">
      <c r="B158" s="474" t="s">
        <v>1510</v>
      </c>
      <c r="C158" s="477">
        <v>32.000000000000028</v>
      </c>
      <c r="D158" s="289">
        <v>0</v>
      </c>
      <c r="G158" s="477"/>
      <c r="H158" s="289"/>
    </row>
    <row r="159" spans="2:8" x14ac:dyDescent="0.2">
      <c r="B159" s="474" t="s">
        <v>1511</v>
      </c>
      <c r="C159" s="288">
        <v>46.000000000000043</v>
      </c>
      <c r="D159" s="289">
        <v>0</v>
      </c>
      <c r="G159" s="477"/>
      <c r="H159" s="289"/>
    </row>
    <row r="160" spans="2:8" x14ac:dyDescent="0.2">
      <c r="B160" s="474" t="s">
        <v>114</v>
      </c>
      <c r="C160" s="477"/>
      <c r="G160" s="477"/>
      <c r="H160" s="289"/>
    </row>
    <row r="161" spans="2:8" x14ac:dyDescent="0.2">
      <c r="B161" s="474" t="s">
        <v>1474</v>
      </c>
      <c r="C161" s="474">
        <v>26.999999999999915</v>
      </c>
      <c r="D161" s="289">
        <v>4.0999999999999996</v>
      </c>
      <c r="G161" s="477"/>
      <c r="H161" s="289"/>
    </row>
    <row r="162" spans="2:8" x14ac:dyDescent="0.2">
      <c r="B162" s="474" t="s">
        <v>1385</v>
      </c>
      <c r="C162" s="477">
        <v>36.000000000000028</v>
      </c>
      <c r="D162" s="289">
        <v>37.900000000000006</v>
      </c>
      <c r="G162" s="477"/>
      <c r="H162" s="289"/>
    </row>
    <row r="163" spans="2:8" x14ac:dyDescent="0.2">
      <c r="B163" s="474" t="s">
        <v>1493</v>
      </c>
      <c r="C163" s="474">
        <v>36.999999999999922</v>
      </c>
      <c r="D163" s="289">
        <v>2.1</v>
      </c>
    </row>
    <row r="164" spans="2:8" x14ac:dyDescent="0.2">
      <c r="B164" s="474" t="s">
        <v>1369</v>
      </c>
      <c r="C164" s="474">
        <v>36.000000000000028</v>
      </c>
      <c r="D164" s="289">
        <v>19.299999999999997</v>
      </c>
    </row>
    <row r="165" spans="2:8" x14ac:dyDescent="0.2">
      <c r="B165" s="474" t="s">
        <v>1426</v>
      </c>
      <c r="C165" s="477">
        <v>25</v>
      </c>
      <c r="D165" s="289">
        <v>497.46499999999997</v>
      </c>
    </row>
    <row r="166" spans="2:8" x14ac:dyDescent="0.2">
      <c r="B166" s="474" t="s">
        <v>1396</v>
      </c>
      <c r="C166" s="474">
        <v>25</v>
      </c>
      <c r="D166" s="289">
        <v>188.13</v>
      </c>
      <c r="G166" s="477"/>
      <c r="H166" s="289"/>
    </row>
    <row r="167" spans="2:8" x14ac:dyDescent="0.2">
      <c r="B167" s="474" t="s">
        <v>1256</v>
      </c>
      <c r="C167" s="477">
        <v>24</v>
      </c>
      <c r="D167" s="289">
        <v>4.1500000000000004</v>
      </c>
      <c r="G167" s="477"/>
      <c r="H167" s="289"/>
    </row>
    <row r="168" spans="2:8" x14ac:dyDescent="0.2">
      <c r="B168" s="474" t="s">
        <v>1285</v>
      </c>
      <c r="C168" s="477">
        <v>33</v>
      </c>
      <c r="D168" s="289">
        <v>177</v>
      </c>
      <c r="G168" s="477"/>
      <c r="H168" s="289"/>
    </row>
    <row r="169" spans="2:8" x14ac:dyDescent="0.2">
      <c r="B169" s="474" t="s">
        <v>1285</v>
      </c>
      <c r="C169" s="474">
        <v>34.000000000000028</v>
      </c>
      <c r="D169" s="289">
        <v>177</v>
      </c>
      <c r="G169" s="477"/>
      <c r="H169" s="289"/>
    </row>
    <row r="170" spans="2:8" x14ac:dyDescent="0.2">
      <c r="B170" s="474" t="s">
        <v>1284</v>
      </c>
      <c r="C170" s="477">
        <v>34.000000000000028</v>
      </c>
      <c r="D170" s="289">
        <v>94.38</v>
      </c>
      <c r="G170" s="477"/>
      <c r="H170" s="289"/>
    </row>
    <row r="171" spans="2:8" x14ac:dyDescent="0.2">
      <c r="B171" s="474" t="s">
        <v>1287</v>
      </c>
      <c r="C171" s="477">
        <v>34.000000000000028</v>
      </c>
      <c r="D171" s="289">
        <v>8.25</v>
      </c>
      <c r="G171" s="477"/>
      <c r="H171" s="289"/>
    </row>
    <row r="172" spans="2:8" x14ac:dyDescent="0.2">
      <c r="B172" s="474" t="s">
        <v>1286</v>
      </c>
      <c r="C172" s="477">
        <v>34.000000000000028</v>
      </c>
      <c r="D172" s="289">
        <v>3.6</v>
      </c>
      <c r="F172" s="1"/>
      <c r="G172" s="455"/>
      <c r="H172" s="456"/>
    </row>
    <row r="173" spans="2:8" x14ac:dyDescent="0.2">
      <c r="B173" s="474" t="s">
        <v>1289</v>
      </c>
      <c r="C173" s="477">
        <v>34.000000000000028</v>
      </c>
      <c r="D173" s="289">
        <v>45.55</v>
      </c>
      <c r="F173" s="1"/>
      <c r="G173" s="455"/>
      <c r="H173" s="456"/>
    </row>
    <row r="174" spans="2:8" x14ac:dyDescent="0.2">
      <c r="B174" s="474" t="s">
        <v>1288</v>
      </c>
      <c r="C174" s="477">
        <v>34.000000000000028</v>
      </c>
      <c r="D174" s="289">
        <v>19.299999999999997</v>
      </c>
      <c r="G174" s="477"/>
      <c r="H174" s="289"/>
    </row>
    <row r="175" spans="2:8" x14ac:dyDescent="0.2">
      <c r="B175" s="474" t="s">
        <v>1476</v>
      </c>
      <c r="C175" s="474">
        <v>32.000000000000028</v>
      </c>
      <c r="D175" s="289">
        <v>2.4500000000000002</v>
      </c>
      <c r="G175" s="477"/>
      <c r="H175" s="289"/>
    </row>
    <row r="176" spans="2:8" x14ac:dyDescent="0.2">
      <c r="B176" s="474" t="s">
        <v>1480</v>
      </c>
      <c r="C176" s="477">
        <v>34.999999999999922</v>
      </c>
      <c r="D176" s="289">
        <v>2.4500000000000002</v>
      </c>
    </row>
    <row r="177" spans="2:8" x14ac:dyDescent="0.2">
      <c r="B177" s="474" t="s">
        <v>1406</v>
      </c>
      <c r="C177" s="477">
        <v>34.000000000000028</v>
      </c>
      <c r="D177" s="289">
        <v>338.13</v>
      </c>
      <c r="G177" s="477"/>
      <c r="H177" s="289"/>
    </row>
    <row r="178" spans="2:8" x14ac:dyDescent="0.2">
      <c r="B178" s="474" t="s">
        <v>1283</v>
      </c>
      <c r="C178" s="477">
        <v>34.000000000000028</v>
      </c>
      <c r="D178" s="289">
        <v>56.849999999999994</v>
      </c>
      <c r="G178" s="477"/>
      <c r="H178" s="289"/>
    </row>
    <row r="179" spans="2:8" x14ac:dyDescent="0.2">
      <c r="B179" s="474" t="s">
        <v>1075</v>
      </c>
      <c r="C179" s="288">
        <v>37</v>
      </c>
      <c r="D179" s="289">
        <v>1.7</v>
      </c>
    </row>
    <row r="180" spans="2:8" x14ac:dyDescent="0.2">
      <c r="B180" s="474" t="s">
        <v>1076</v>
      </c>
      <c r="C180" s="288">
        <v>37</v>
      </c>
      <c r="D180" s="289">
        <v>1.8</v>
      </c>
      <c r="G180" s="477"/>
      <c r="H180" s="289"/>
    </row>
    <row r="181" spans="2:8" x14ac:dyDescent="0.2">
      <c r="B181" s="474" t="s">
        <v>1379</v>
      </c>
      <c r="C181" s="477">
        <v>33</v>
      </c>
      <c r="D181" s="289">
        <v>30.549999999999997</v>
      </c>
      <c r="G181" s="477"/>
      <c r="H181" s="289"/>
    </row>
    <row r="182" spans="2:8" x14ac:dyDescent="0.2">
      <c r="B182" s="474" t="s">
        <v>1378</v>
      </c>
      <c r="C182" s="477">
        <v>33</v>
      </c>
      <c r="D182" s="289">
        <v>15.55</v>
      </c>
      <c r="G182" s="477"/>
      <c r="H182" s="289"/>
    </row>
    <row r="183" spans="2:8" x14ac:dyDescent="0.2">
      <c r="B183" s="1" t="s">
        <v>1363</v>
      </c>
      <c r="C183" s="1">
        <v>33</v>
      </c>
      <c r="D183" s="289">
        <v>17.399999999999999</v>
      </c>
      <c r="G183" s="477"/>
      <c r="H183" s="289"/>
    </row>
    <row r="184" spans="2:8" x14ac:dyDescent="0.2">
      <c r="B184" s="474" t="s">
        <v>1189</v>
      </c>
      <c r="C184" s="477">
        <v>35</v>
      </c>
      <c r="D184" s="289">
        <v>9.75</v>
      </c>
    </row>
    <row r="185" spans="2:8" x14ac:dyDescent="0.2">
      <c r="B185" s="474" t="s">
        <v>1188</v>
      </c>
      <c r="C185" s="477">
        <v>35</v>
      </c>
      <c r="D185" s="289">
        <v>6.15</v>
      </c>
      <c r="G185" s="477"/>
      <c r="H185" s="289"/>
    </row>
    <row r="186" spans="2:8" x14ac:dyDescent="0.2">
      <c r="B186" s="474" t="s">
        <v>1248</v>
      </c>
      <c r="C186" s="477">
        <v>37</v>
      </c>
      <c r="D186" s="289">
        <v>2.4</v>
      </c>
    </row>
    <row r="187" spans="2:8" x14ac:dyDescent="0.2">
      <c r="B187" s="474" t="s">
        <v>1077</v>
      </c>
      <c r="C187" s="474">
        <v>37</v>
      </c>
      <c r="D187" s="289">
        <v>3.75</v>
      </c>
      <c r="F187" s="1"/>
      <c r="G187" s="455"/>
      <c r="H187" s="456"/>
    </row>
    <row r="188" spans="2:8" x14ac:dyDescent="0.2">
      <c r="B188" s="474" t="s">
        <v>1495</v>
      </c>
      <c r="C188" s="474">
        <v>36.999999999999922</v>
      </c>
      <c r="D188" s="289">
        <v>2.1</v>
      </c>
      <c r="F188" s="1"/>
      <c r="G188" s="455"/>
      <c r="H188" s="456"/>
    </row>
    <row r="189" spans="2:8" x14ac:dyDescent="0.2">
      <c r="B189" s="474" t="s">
        <v>1078</v>
      </c>
      <c r="C189" s="474">
        <v>36.000000000000028</v>
      </c>
      <c r="D189" s="289">
        <v>1.9</v>
      </c>
      <c r="F189" s="1"/>
      <c r="G189" s="455"/>
      <c r="H189" s="456"/>
    </row>
    <row r="190" spans="2:8" x14ac:dyDescent="0.2">
      <c r="B190" s="474" t="s">
        <v>1079</v>
      </c>
      <c r="C190" s="288">
        <v>36.000000000000028</v>
      </c>
      <c r="D190" s="289">
        <v>1.8</v>
      </c>
      <c r="G190" s="477"/>
      <c r="H190" s="289"/>
    </row>
    <row r="191" spans="2:8" x14ac:dyDescent="0.2">
      <c r="B191" s="474" t="s">
        <v>1437</v>
      </c>
      <c r="C191" s="474">
        <v>25</v>
      </c>
      <c r="D191" s="289">
        <v>451.13</v>
      </c>
      <c r="G191" s="477"/>
      <c r="H191" s="289"/>
    </row>
    <row r="192" spans="2:8" x14ac:dyDescent="0.2">
      <c r="B192" s="474" t="s">
        <v>1238</v>
      </c>
      <c r="C192" s="477">
        <v>29</v>
      </c>
      <c r="D192" s="289">
        <v>2.65</v>
      </c>
      <c r="G192" s="477"/>
      <c r="H192" s="289"/>
    </row>
    <row r="193" spans="2:8" x14ac:dyDescent="0.2">
      <c r="B193" s="474" t="s">
        <v>1290</v>
      </c>
      <c r="C193" s="477">
        <v>30.000000000000028</v>
      </c>
      <c r="D193" s="289">
        <v>109.38</v>
      </c>
    </row>
    <row r="194" spans="2:8" x14ac:dyDescent="0.2">
      <c r="B194" s="474" t="s">
        <v>1257</v>
      </c>
      <c r="C194" s="477">
        <v>37</v>
      </c>
      <c r="D194" s="289">
        <v>2.4500000000000002</v>
      </c>
    </row>
    <row r="195" spans="2:8" x14ac:dyDescent="0.2">
      <c r="B195" s="474" t="s">
        <v>1169</v>
      </c>
      <c r="C195" s="474">
        <v>36.000000000000028</v>
      </c>
      <c r="D195" s="289">
        <v>2.6500000000000004</v>
      </c>
    </row>
    <row r="196" spans="2:8" x14ac:dyDescent="0.2">
      <c r="B196" s="474" t="s">
        <v>1456</v>
      </c>
      <c r="C196" s="474">
        <v>25</v>
      </c>
      <c r="D196" s="289">
        <v>469.5</v>
      </c>
      <c r="G196" s="477"/>
      <c r="H196" s="289"/>
    </row>
    <row r="197" spans="2:8" x14ac:dyDescent="0.2">
      <c r="B197" s="476" t="s">
        <v>1217</v>
      </c>
      <c r="C197" s="477">
        <v>40.000000000000036</v>
      </c>
      <c r="D197" s="289">
        <v>2.6</v>
      </c>
    </row>
    <row r="198" spans="2:8" x14ac:dyDescent="0.2">
      <c r="B198" s="474" t="s">
        <v>1455</v>
      </c>
      <c r="C198" s="477">
        <v>33</v>
      </c>
      <c r="D198" s="289">
        <v>357</v>
      </c>
      <c r="G198" s="288"/>
      <c r="H198" s="289"/>
    </row>
    <row r="199" spans="2:8" x14ac:dyDescent="0.2">
      <c r="B199" s="474" t="s">
        <v>1291</v>
      </c>
      <c r="C199" s="474">
        <v>35</v>
      </c>
      <c r="D199" s="289">
        <v>57</v>
      </c>
      <c r="F199" s="476"/>
      <c r="G199" s="477"/>
      <c r="H199" s="289"/>
    </row>
    <row r="200" spans="2:8" x14ac:dyDescent="0.2">
      <c r="B200" s="474" t="s">
        <v>1191</v>
      </c>
      <c r="C200" s="477">
        <v>35</v>
      </c>
      <c r="D200" s="289">
        <v>9.85</v>
      </c>
      <c r="F200" s="476"/>
      <c r="G200" s="477"/>
      <c r="H200" s="289"/>
    </row>
    <row r="201" spans="2:8" x14ac:dyDescent="0.2">
      <c r="B201" s="474" t="s">
        <v>1190</v>
      </c>
      <c r="C201" s="477">
        <v>35</v>
      </c>
      <c r="D201" s="289">
        <v>6.55</v>
      </c>
      <c r="G201" s="477"/>
      <c r="H201" s="289"/>
    </row>
    <row r="202" spans="2:8" x14ac:dyDescent="0.2">
      <c r="B202" s="474" t="s">
        <v>1081</v>
      </c>
      <c r="C202" s="288">
        <v>37</v>
      </c>
      <c r="D202" s="289">
        <v>1.8</v>
      </c>
    </row>
    <row r="203" spans="2:8" x14ac:dyDescent="0.2">
      <c r="B203" s="474" t="s">
        <v>1080</v>
      </c>
      <c r="C203" s="474">
        <v>37</v>
      </c>
      <c r="D203" s="289">
        <v>1.8</v>
      </c>
      <c r="G203" s="477"/>
      <c r="H203" s="289"/>
    </row>
    <row r="204" spans="2:8" x14ac:dyDescent="0.2">
      <c r="B204" s="474" t="s">
        <v>141</v>
      </c>
      <c r="C204" s="474"/>
      <c r="G204" s="477"/>
      <c r="H204" s="289"/>
    </row>
    <row r="205" spans="2:8" x14ac:dyDescent="0.2">
      <c r="B205" s="474" t="s">
        <v>1512</v>
      </c>
      <c r="C205" s="288">
        <v>46.000000000000043</v>
      </c>
      <c r="D205" s="289">
        <v>0</v>
      </c>
      <c r="G205" s="477"/>
      <c r="H205" s="289"/>
    </row>
    <row r="206" spans="2:8" x14ac:dyDescent="0.2">
      <c r="B206" s="474" t="s">
        <v>1513</v>
      </c>
      <c r="C206" s="288">
        <v>36.000000000000028</v>
      </c>
      <c r="D206" s="289">
        <v>0</v>
      </c>
      <c r="F206" s="476"/>
      <c r="G206" s="477"/>
      <c r="H206" s="289"/>
    </row>
    <row r="207" spans="2:8" x14ac:dyDescent="0.2">
      <c r="B207" s="1" t="s">
        <v>1386</v>
      </c>
      <c r="C207" s="455">
        <v>35</v>
      </c>
      <c r="D207" s="289">
        <v>29</v>
      </c>
      <c r="G207" s="477"/>
      <c r="H207" s="289"/>
    </row>
    <row r="208" spans="2:8" x14ac:dyDescent="0.2">
      <c r="B208" s="474" t="s">
        <v>1082</v>
      </c>
      <c r="C208" s="477">
        <v>38</v>
      </c>
      <c r="D208" s="289">
        <v>3</v>
      </c>
      <c r="G208" s="477"/>
      <c r="H208" s="289"/>
    </row>
    <row r="209" spans="2:8" x14ac:dyDescent="0.2">
      <c r="B209" s="476" t="s">
        <v>1427</v>
      </c>
      <c r="C209" s="288">
        <v>25</v>
      </c>
      <c r="D209" s="289">
        <v>500</v>
      </c>
      <c r="F209" s="1"/>
      <c r="G209" s="455"/>
      <c r="H209" s="456"/>
    </row>
    <row r="210" spans="2:8" x14ac:dyDescent="0.2">
      <c r="B210" s="474" t="s">
        <v>1393</v>
      </c>
      <c r="C210" s="474">
        <v>32.000000000000028</v>
      </c>
      <c r="D210" s="289">
        <v>52.5</v>
      </c>
    </row>
    <row r="211" spans="2:8" x14ac:dyDescent="0.2">
      <c r="B211" s="474" t="s">
        <v>1293</v>
      </c>
      <c r="C211" s="477">
        <v>34.000000000000028</v>
      </c>
      <c r="D211" s="289">
        <v>16.45</v>
      </c>
      <c r="G211" s="477"/>
      <c r="H211" s="289"/>
    </row>
    <row r="212" spans="2:8" x14ac:dyDescent="0.2">
      <c r="B212" s="474" t="s">
        <v>1292</v>
      </c>
      <c r="C212" s="477">
        <v>34.000000000000028</v>
      </c>
      <c r="D212" s="289">
        <v>11.8</v>
      </c>
      <c r="G212" s="477"/>
      <c r="H212" s="289"/>
    </row>
    <row r="213" spans="2:8" x14ac:dyDescent="0.2">
      <c r="B213" s="474" t="s">
        <v>1083</v>
      </c>
      <c r="C213" s="477">
        <v>38</v>
      </c>
      <c r="D213" s="289">
        <v>4.0500000000000007</v>
      </c>
      <c r="G213" s="477"/>
      <c r="H213" s="289"/>
    </row>
    <row r="214" spans="2:8" x14ac:dyDescent="0.2">
      <c r="B214" s="474" t="s">
        <v>1408</v>
      </c>
      <c r="C214" s="477">
        <v>34.000000000000028</v>
      </c>
      <c r="D214" s="289">
        <v>380</v>
      </c>
      <c r="G214" s="477"/>
      <c r="H214" s="289"/>
    </row>
    <row r="215" spans="2:8" x14ac:dyDescent="0.2">
      <c r="B215" s="474" t="s">
        <v>1085</v>
      </c>
      <c r="C215" s="474">
        <v>38</v>
      </c>
      <c r="D215" s="289">
        <v>2.5</v>
      </c>
    </row>
    <row r="216" spans="2:8" x14ac:dyDescent="0.2">
      <c r="B216" s="474" t="s">
        <v>1084</v>
      </c>
      <c r="C216" s="474">
        <v>38</v>
      </c>
      <c r="D216" s="289">
        <v>1.75</v>
      </c>
    </row>
    <row r="217" spans="2:8" x14ac:dyDescent="0.2">
      <c r="B217" s="474" t="s">
        <v>1297</v>
      </c>
      <c r="C217" s="474">
        <v>33</v>
      </c>
      <c r="D217" s="289">
        <v>170.5</v>
      </c>
    </row>
    <row r="218" spans="2:8" x14ac:dyDescent="0.2">
      <c r="B218" s="474" t="s">
        <v>1294</v>
      </c>
      <c r="C218" s="477">
        <v>34.000000000000028</v>
      </c>
      <c r="D218" s="289">
        <v>42</v>
      </c>
    </row>
    <row r="219" spans="2:8" x14ac:dyDescent="0.2">
      <c r="B219" s="474" t="s">
        <v>1295</v>
      </c>
      <c r="C219" s="477">
        <v>34.000000000000028</v>
      </c>
      <c r="D219" s="289">
        <v>64.599999999999994</v>
      </c>
      <c r="G219" s="477"/>
      <c r="H219" s="289"/>
    </row>
    <row r="220" spans="2:8" x14ac:dyDescent="0.2">
      <c r="B220" s="474" t="s">
        <v>1296</v>
      </c>
      <c r="C220" s="474">
        <v>33</v>
      </c>
      <c r="D220" s="289">
        <v>101.5</v>
      </c>
      <c r="G220" s="477"/>
      <c r="H220" s="289"/>
    </row>
    <row r="221" spans="2:8" x14ac:dyDescent="0.2">
      <c r="B221" s="474" t="s">
        <v>1192</v>
      </c>
      <c r="C221" s="477">
        <v>35</v>
      </c>
      <c r="D221" s="289">
        <v>19.5</v>
      </c>
      <c r="F221" s="1"/>
      <c r="G221" s="455"/>
      <c r="H221" s="456"/>
    </row>
    <row r="222" spans="2:8" x14ac:dyDescent="0.2">
      <c r="B222" s="474" t="s">
        <v>1468</v>
      </c>
      <c r="C222" s="477">
        <v>43</v>
      </c>
      <c r="D222" s="289">
        <v>1.75</v>
      </c>
      <c r="G222" s="477"/>
      <c r="H222" s="289"/>
    </row>
    <row r="223" spans="2:8" x14ac:dyDescent="0.2">
      <c r="B223" s="474" t="s">
        <v>1086</v>
      </c>
      <c r="C223" s="474">
        <v>38</v>
      </c>
      <c r="D223" s="289">
        <v>1.75</v>
      </c>
      <c r="G223" s="477"/>
      <c r="H223" s="289"/>
    </row>
    <row r="224" spans="2:8" x14ac:dyDescent="0.2">
      <c r="B224" s="474" t="s">
        <v>1087</v>
      </c>
      <c r="C224" s="477">
        <v>38</v>
      </c>
      <c r="D224" s="289">
        <v>1.75</v>
      </c>
      <c r="G224" s="477"/>
      <c r="H224" s="289"/>
    </row>
    <row r="225" spans="2:8" x14ac:dyDescent="0.2">
      <c r="B225" s="474" t="s">
        <v>1088</v>
      </c>
      <c r="C225" s="477">
        <v>38</v>
      </c>
      <c r="D225" s="289">
        <v>1.75</v>
      </c>
      <c r="G225" s="477"/>
      <c r="H225" s="289"/>
    </row>
    <row r="226" spans="2:8" x14ac:dyDescent="0.2">
      <c r="B226" s="474" t="s">
        <v>1089</v>
      </c>
      <c r="C226" s="477">
        <v>38</v>
      </c>
      <c r="D226" s="289">
        <v>3</v>
      </c>
      <c r="G226" s="477"/>
      <c r="H226" s="289"/>
    </row>
    <row r="227" spans="2:8" x14ac:dyDescent="0.2">
      <c r="B227" s="474" t="s">
        <v>1482</v>
      </c>
      <c r="C227" s="477">
        <v>36.000000000000028</v>
      </c>
      <c r="D227" s="289">
        <v>1</v>
      </c>
    </row>
    <row r="228" spans="2:8" x14ac:dyDescent="0.2">
      <c r="B228" s="474" t="s">
        <v>1483</v>
      </c>
      <c r="C228" s="477">
        <v>36.000000000000028</v>
      </c>
      <c r="D228" s="289">
        <v>1</v>
      </c>
    </row>
    <row r="229" spans="2:8" x14ac:dyDescent="0.2">
      <c r="B229" s="474" t="s">
        <v>1484</v>
      </c>
      <c r="C229" s="477">
        <v>36.000000000000028</v>
      </c>
      <c r="D229" s="289">
        <v>1</v>
      </c>
      <c r="G229" s="477"/>
      <c r="H229" s="289"/>
    </row>
    <row r="230" spans="2:8" x14ac:dyDescent="0.2">
      <c r="B230" s="474" t="s">
        <v>1486</v>
      </c>
      <c r="C230" s="474">
        <v>36.000000000000028</v>
      </c>
      <c r="D230" s="289">
        <v>1</v>
      </c>
    </row>
    <row r="231" spans="2:8" x14ac:dyDescent="0.2">
      <c r="B231" s="474" t="s">
        <v>1090</v>
      </c>
      <c r="C231" s="477">
        <v>38</v>
      </c>
      <c r="D231" s="289">
        <v>1.75</v>
      </c>
    </row>
    <row r="232" spans="2:8" x14ac:dyDescent="0.2">
      <c r="B232" s="474" t="s">
        <v>1170</v>
      </c>
      <c r="C232" s="474">
        <v>36</v>
      </c>
      <c r="D232" s="289">
        <v>3.35</v>
      </c>
      <c r="G232" s="477"/>
      <c r="H232" s="289"/>
    </row>
    <row r="233" spans="2:8" x14ac:dyDescent="0.2">
      <c r="B233" s="1" t="s">
        <v>1170</v>
      </c>
      <c r="C233" s="455">
        <v>35</v>
      </c>
      <c r="D233" s="289">
        <v>9</v>
      </c>
    </row>
    <row r="234" spans="2:8" x14ac:dyDescent="0.2">
      <c r="B234" s="474" t="s">
        <v>1249</v>
      </c>
      <c r="C234" s="477">
        <v>33</v>
      </c>
      <c r="D234" s="289">
        <v>2.2999999999999998</v>
      </c>
    </row>
    <row r="235" spans="2:8" x14ac:dyDescent="0.2">
      <c r="B235" s="474" t="s">
        <v>1091</v>
      </c>
      <c r="C235" s="477">
        <v>38</v>
      </c>
      <c r="D235" s="289">
        <v>3.25</v>
      </c>
    </row>
    <row r="236" spans="2:8" x14ac:dyDescent="0.2">
      <c r="B236" s="474" t="s">
        <v>1092</v>
      </c>
      <c r="C236" s="477">
        <v>38</v>
      </c>
      <c r="D236" s="289">
        <v>3.25</v>
      </c>
    </row>
    <row r="237" spans="2:8" x14ac:dyDescent="0.2">
      <c r="B237" s="474" t="s">
        <v>1298</v>
      </c>
      <c r="C237" s="477">
        <v>34.000000000000028</v>
      </c>
      <c r="D237" s="289">
        <v>177.5</v>
      </c>
    </row>
    <row r="238" spans="2:8" x14ac:dyDescent="0.2">
      <c r="B238" s="474" t="s">
        <v>1093</v>
      </c>
      <c r="C238" s="477">
        <v>38</v>
      </c>
      <c r="D238" s="289">
        <v>1.75</v>
      </c>
    </row>
    <row r="239" spans="2:8" x14ac:dyDescent="0.2">
      <c r="B239" s="474" t="s">
        <v>1407</v>
      </c>
      <c r="C239" s="477">
        <v>34.000000000000028</v>
      </c>
      <c r="D239" s="289">
        <v>225</v>
      </c>
    </row>
    <row r="240" spans="2:8" x14ac:dyDescent="0.2">
      <c r="B240" s="474" t="s">
        <v>1438</v>
      </c>
      <c r="C240" s="477">
        <v>25</v>
      </c>
      <c r="D240" s="289">
        <v>500</v>
      </c>
    </row>
    <row r="241" spans="2:8" x14ac:dyDescent="0.2">
      <c r="B241" s="474" t="s">
        <v>1239</v>
      </c>
      <c r="C241" s="474">
        <v>29</v>
      </c>
      <c r="D241" s="289">
        <v>8</v>
      </c>
    </row>
    <row r="242" spans="2:8" x14ac:dyDescent="0.2">
      <c r="B242" s="474" t="s">
        <v>1481</v>
      </c>
      <c r="C242" s="477">
        <v>36.000000000000028</v>
      </c>
      <c r="D242" s="289">
        <v>1</v>
      </c>
    </row>
    <row r="243" spans="2:8" x14ac:dyDescent="0.2">
      <c r="B243" s="474" t="s">
        <v>1485</v>
      </c>
      <c r="C243" s="474">
        <v>36.000000000000028</v>
      </c>
      <c r="D243" s="289">
        <v>1</v>
      </c>
    </row>
    <row r="244" spans="2:8" x14ac:dyDescent="0.2">
      <c r="B244" s="474" t="s">
        <v>1218</v>
      </c>
      <c r="C244" s="477">
        <v>39</v>
      </c>
      <c r="D244" s="289">
        <v>2</v>
      </c>
      <c r="G244" s="477"/>
      <c r="H244" s="289"/>
    </row>
    <row r="245" spans="2:8" x14ac:dyDescent="0.2">
      <c r="B245" s="474" t="s">
        <v>144</v>
      </c>
      <c r="C245" s="474"/>
      <c r="G245" s="477"/>
      <c r="H245" s="289"/>
    </row>
    <row r="246" spans="2:8" x14ac:dyDescent="0.2">
      <c r="B246" s="474" t="s">
        <v>1514</v>
      </c>
      <c r="C246" s="288">
        <v>46.000000000000043</v>
      </c>
      <c r="D246" s="289">
        <v>2</v>
      </c>
      <c r="F246" s="1"/>
      <c r="G246" s="455"/>
      <c r="H246" s="456"/>
    </row>
    <row r="247" spans="2:8" x14ac:dyDescent="0.2">
      <c r="B247" s="474" t="s">
        <v>146</v>
      </c>
      <c r="C247" s="477"/>
      <c r="F247" s="1"/>
      <c r="G247" s="455"/>
      <c r="H247" s="456"/>
    </row>
    <row r="248" spans="2:8" x14ac:dyDescent="0.2">
      <c r="B248" s="474" t="s">
        <v>1515</v>
      </c>
      <c r="C248" s="288">
        <v>36.999999999999922</v>
      </c>
      <c r="D248" s="289">
        <v>0</v>
      </c>
      <c r="G248" s="477"/>
      <c r="H248" s="289"/>
    </row>
    <row r="249" spans="2:8" x14ac:dyDescent="0.2">
      <c r="B249" s="474" t="s">
        <v>1516</v>
      </c>
      <c r="C249" s="288">
        <v>43</v>
      </c>
      <c r="D249" s="289">
        <v>10</v>
      </c>
      <c r="G249" s="477"/>
      <c r="H249" s="289"/>
    </row>
    <row r="250" spans="2:8" x14ac:dyDescent="0.2">
      <c r="B250" s="474" t="s">
        <v>1517</v>
      </c>
      <c r="C250" s="288">
        <v>43</v>
      </c>
      <c r="D250" s="289">
        <v>30</v>
      </c>
      <c r="G250" s="477"/>
      <c r="H250" s="289"/>
    </row>
    <row r="251" spans="2:8" x14ac:dyDescent="0.2">
      <c r="B251" s="474" t="s">
        <v>1518</v>
      </c>
      <c r="C251" s="288">
        <v>43</v>
      </c>
      <c r="D251" s="289">
        <v>4</v>
      </c>
      <c r="G251" s="477"/>
      <c r="H251" s="289"/>
    </row>
    <row r="252" spans="2:8" x14ac:dyDescent="0.2">
      <c r="B252" s="474" t="s">
        <v>1519</v>
      </c>
      <c r="C252" s="288">
        <v>43</v>
      </c>
      <c r="D252" s="289">
        <v>6</v>
      </c>
    </row>
    <row r="253" spans="2:8" x14ac:dyDescent="0.2">
      <c r="B253" s="474" t="s">
        <v>1520</v>
      </c>
      <c r="C253" s="288">
        <v>43</v>
      </c>
      <c r="D253" s="289">
        <v>6</v>
      </c>
      <c r="G253" s="477"/>
      <c r="H253" s="289"/>
    </row>
    <row r="254" spans="2:8" x14ac:dyDescent="0.2">
      <c r="B254" s="474" t="s">
        <v>1521</v>
      </c>
      <c r="C254" s="288">
        <v>43</v>
      </c>
      <c r="D254" s="289">
        <v>2</v>
      </c>
      <c r="G254" s="477"/>
      <c r="H254" s="289"/>
    </row>
    <row r="255" spans="2:8" x14ac:dyDescent="0.2">
      <c r="B255" s="474" t="s">
        <v>1522</v>
      </c>
      <c r="C255" s="288">
        <v>43</v>
      </c>
      <c r="D255" s="289">
        <v>6</v>
      </c>
      <c r="G255" s="477"/>
      <c r="H255" s="289"/>
    </row>
    <row r="256" spans="2:8" x14ac:dyDescent="0.2">
      <c r="B256" s="474" t="s">
        <v>1523</v>
      </c>
      <c r="C256" s="288">
        <v>43</v>
      </c>
      <c r="D256" s="289">
        <v>3</v>
      </c>
      <c r="G256" s="477"/>
      <c r="H256" s="289"/>
    </row>
    <row r="257" spans="2:8" x14ac:dyDescent="0.2">
      <c r="B257" s="474" t="s">
        <v>150</v>
      </c>
      <c r="C257" s="477"/>
      <c r="G257" s="477"/>
      <c r="H257" s="289"/>
    </row>
    <row r="258" spans="2:8" x14ac:dyDescent="0.2">
      <c r="B258" s="474" t="s">
        <v>148</v>
      </c>
      <c r="C258" s="477"/>
      <c r="G258" s="477"/>
      <c r="H258" s="289"/>
    </row>
    <row r="259" spans="2:8" x14ac:dyDescent="0.2">
      <c r="B259" s="474" t="s">
        <v>1094</v>
      </c>
      <c r="C259" s="474">
        <v>38</v>
      </c>
      <c r="D259" s="289">
        <v>3</v>
      </c>
      <c r="G259" s="477"/>
      <c r="H259" s="289"/>
    </row>
    <row r="260" spans="2:8" x14ac:dyDescent="0.2">
      <c r="B260" s="474" t="s">
        <v>1299</v>
      </c>
      <c r="C260" s="474">
        <v>34.000000000000028</v>
      </c>
      <c r="D260" s="289">
        <v>22.5</v>
      </c>
      <c r="G260" s="477"/>
      <c r="H260" s="289"/>
    </row>
    <row r="261" spans="2:8" x14ac:dyDescent="0.2">
      <c r="B261" s="1" t="s">
        <v>1193</v>
      </c>
      <c r="C261" s="455">
        <v>35</v>
      </c>
      <c r="D261" s="289">
        <v>30</v>
      </c>
      <c r="G261" s="477"/>
      <c r="H261" s="289"/>
    </row>
    <row r="262" spans="2:8" x14ac:dyDescent="0.2">
      <c r="B262" s="474" t="s">
        <v>1194</v>
      </c>
      <c r="C262" s="477">
        <v>35</v>
      </c>
      <c r="D262" s="289">
        <v>10</v>
      </c>
      <c r="G262" s="477"/>
      <c r="H262" s="289"/>
    </row>
    <row r="263" spans="2:8" x14ac:dyDescent="0.2">
      <c r="B263" s="474" t="s">
        <v>1095</v>
      </c>
      <c r="C263" s="474">
        <v>38</v>
      </c>
      <c r="D263" s="289">
        <v>2</v>
      </c>
      <c r="G263" s="477"/>
      <c r="H263" s="289"/>
    </row>
    <row r="264" spans="2:8" x14ac:dyDescent="0.2">
      <c r="B264" s="474" t="s">
        <v>1096</v>
      </c>
      <c r="C264" s="288">
        <v>37</v>
      </c>
      <c r="D264" s="289">
        <v>1.55</v>
      </c>
    </row>
    <row r="265" spans="2:8" x14ac:dyDescent="0.2">
      <c r="B265" s="474" t="s">
        <v>1171</v>
      </c>
      <c r="C265" s="474">
        <v>36.000000000000028</v>
      </c>
      <c r="D265" s="289">
        <v>5.5</v>
      </c>
      <c r="G265" s="477"/>
      <c r="H265" s="289"/>
    </row>
    <row r="266" spans="2:8" x14ac:dyDescent="0.2">
      <c r="B266" s="474" t="s">
        <v>1219</v>
      </c>
      <c r="C266" s="477">
        <v>39</v>
      </c>
      <c r="D266" s="289">
        <v>2.2999999999999998</v>
      </c>
      <c r="G266" s="477"/>
      <c r="H266" s="289"/>
    </row>
    <row r="267" spans="2:8" x14ac:dyDescent="0.2">
      <c r="B267" s="474" t="s">
        <v>1524</v>
      </c>
      <c r="C267" s="288">
        <v>46</v>
      </c>
      <c r="D267" s="289">
        <v>0</v>
      </c>
      <c r="F267" s="1"/>
      <c r="G267" s="455"/>
      <c r="H267" s="456"/>
    </row>
    <row r="268" spans="2:8" x14ac:dyDescent="0.2">
      <c r="B268" s="474" t="s">
        <v>1370</v>
      </c>
      <c r="C268" s="477">
        <v>36</v>
      </c>
      <c r="D268" s="289">
        <v>17</v>
      </c>
      <c r="G268" s="477"/>
      <c r="H268" s="289"/>
    </row>
    <row r="269" spans="2:8" x14ac:dyDescent="0.2">
      <c r="B269" s="474" t="s">
        <v>1364</v>
      </c>
      <c r="C269" s="477">
        <v>36</v>
      </c>
      <c r="D269" s="289">
        <v>20</v>
      </c>
      <c r="G269" s="477"/>
      <c r="H269" s="289"/>
    </row>
    <row r="270" spans="2:8" x14ac:dyDescent="0.2">
      <c r="B270" s="474" t="s">
        <v>1307</v>
      </c>
      <c r="C270" s="477">
        <v>34.000000000000028</v>
      </c>
      <c r="D270" s="289">
        <v>40</v>
      </c>
      <c r="G270" s="477"/>
      <c r="H270" s="289"/>
    </row>
    <row r="271" spans="2:8" x14ac:dyDescent="0.2">
      <c r="B271" s="474" t="s">
        <v>1305</v>
      </c>
      <c r="C271" s="477">
        <v>34.000000000000028</v>
      </c>
      <c r="D271" s="289">
        <v>120</v>
      </c>
      <c r="G271" s="477"/>
      <c r="H271" s="289"/>
    </row>
    <row r="272" spans="2:8" x14ac:dyDescent="0.2">
      <c r="B272" s="474" t="s">
        <v>1300</v>
      </c>
      <c r="C272" s="474">
        <v>34.000000000000028</v>
      </c>
      <c r="D272" s="289">
        <v>15</v>
      </c>
      <c r="G272" s="477"/>
      <c r="H272" s="289"/>
    </row>
    <row r="273" spans="2:8" x14ac:dyDescent="0.2">
      <c r="B273" s="474" t="s">
        <v>1306</v>
      </c>
      <c r="C273" s="477">
        <v>34.000000000000028</v>
      </c>
      <c r="D273" s="289">
        <v>150</v>
      </c>
      <c r="G273" s="477"/>
      <c r="H273" s="289"/>
    </row>
    <row r="274" spans="2:8" x14ac:dyDescent="0.2">
      <c r="B274" s="474" t="s">
        <v>1301</v>
      </c>
      <c r="C274" s="288">
        <v>34.000000000000028</v>
      </c>
      <c r="D274" s="289">
        <v>30</v>
      </c>
      <c r="G274" s="477"/>
      <c r="H274" s="289"/>
    </row>
    <row r="275" spans="2:8" x14ac:dyDescent="0.2">
      <c r="B275" s="474" t="s">
        <v>1302</v>
      </c>
      <c r="C275" s="477">
        <v>34.000000000000028</v>
      </c>
      <c r="D275" s="289">
        <v>40</v>
      </c>
      <c r="G275" s="477"/>
      <c r="H275" s="289"/>
    </row>
    <row r="276" spans="2:8" x14ac:dyDescent="0.2">
      <c r="B276" s="474" t="s">
        <v>1303</v>
      </c>
      <c r="C276" s="477">
        <v>34.000000000000028</v>
      </c>
      <c r="D276" s="289">
        <v>60</v>
      </c>
      <c r="G276" s="477"/>
      <c r="H276" s="289"/>
    </row>
    <row r="277" spans="2:8" x14ac:dyDescent="0.2">
      <c r="B277" s="474" t="s">
        <v>1304</v>
      </c>
      <c r="C277" s="477">
        <v>34.000000000000028</v>
      </c>
      <c r="D277" s="289">
        <v>75</v>
      </c>
      <c r="G277" s="477"/>
      <c r="H277" s="289"/>
    </row>
    <row r="278" spans="2:8" x14ac:dyDescent="0.2">
      <c r="B278" s="474" t="s">
        <v>1197</v>
      </c>
      <c r="C278" s="477">
        <v>35</v>
      </c>
      <c r="D278" s="289">
        <v>20</v>
      </c>
    </row>
    <row r="279" spans="2:8" x14ac:dyDescent="0.2">
      <c r="B279" s="1" t="s">
        <v>1469</v>
      </c>
      <c r="C279" s="455">
        <v>43</v>
      </c>
      <c r="D279" s="289">
        <v>1.5</v>
      </c>
    </row>
    <row r="280" spans="2:8" x14ac:dyDescent="0.2">
      <c r="B280" s="474" t="s">
        <v>1196</v>
      </c>
      <c r="C280" s="474">
        <v>35</v>
      </c>
      <c r="D280" s="289">
        <v>6</v>
      </c>
    </row>
    <row r="281" spans="2:8" x14ac:dyDescent="0.2">
      <c r="B281" s="474" t="s">
        <v>1380</v>
      </c>
      <c r="C281" s="477">
        <v>37</v>
      </c>
      <c r="D281" s="289">
        <v>30</v>
      </c>
    </row>
    <row r="282" spans="2:8" x14ac:dyDescent="0.2">
      <c r="B282" s="474" t="s">
        <v>1195</v>
      </c>
      <c r="C282" s="477">
        <v>35</v>
      </c>
      <c r="D282" s="289">
        <v>10</v>
      </c>
    </row>
    <row r="283" spans="2:8" x14ac:dyDescent="0.2">
      <c r="B283" s="474" t="s">
        <v>1097</v>
      </c>
      <c r="C283" s="477">
        <v>37</v>
      </c>
      <c r="D283" s="289">
        <v>3</v>
      </c>
    </row>
    <row r="284" spans="2:8" x14ac:dyDescent="0.2">
      <c r="B284" s="474" t="s">
        <v>1098</v>
      </c>
      <c r="C284" s="477">
        <v>37</v>
      </c>
      <c r="D284" s="289">
        <v>2</v>
      </c>
    </row>
    <row r="285" spans="2:8" x14ac:dyDescent="0.2">
      <c r="B285" s="474" t="s">
        <v>1100</v>
      </c>
      <c r="C285" s="477">
        <v>37</v>
      </c>
      <c r="D285" s="289">
        <v>2</v>
      </c>
    </row>
    <row r="286" spans="2:8" x14ac:dyDescent="0.2">
      <c r="B286" s="474" t="s">
        <v>1101</v>
      </c>
      <c r="C286" s="477">
        <v>37</v>
      </c>
      <c r="D286" s="289">
        <v>1.5</v>
      </c>
    </row>
    <row r="287" spans="2:8" x14ac:dyDescent="0.2">
      <c r="B287" s="474" t="s">
        <v>1102</v>
      </c>
      <c r="C287" s="288">
        <v>37</v>
      </c>
      <c r="D287" s="289">
        <v>2</v>
      </c>
    </row>
    <row r="288" spans="2:8" x14ac:dyDescent="0.2">
      <c r="B288" s="474" t="s">
        <v>1103</v>
      </c>
      <c r="C288" s="474">
        <v>37</v>
      </c>
      <c r="D288" s="289">
        <v>2</v>
      </c>
    </row>
    <row r="289" spans="2:8" x14ac:dyDescent="0.2">
      <c r="B289" s="474" t="s">
        <v>1099</v>
      </c>
      <c r="C289" s="477">
        <v>37</v>
      </c>
      <c r="D289" s="289">
        <v>1.6</v>
      </c>
    </row>
    <row r="290" spans="2:8" x14ac:dyDescent="0.2">
      <c r="B290" s="474" t="s">
        <v>1172</v>
      </c>
      <c r="C290" s="474">
        <v>36.000000000000028</v>
      </c>
      <c r="D290" s="289">
        <v>4</v>
      </c>
    </row>
    <row r="291" spans="2:8" x14ac:dyDescent="0.2">
      <c r="B291" s="474" t="s">
        <v>1221</v>
      </c>
      <c r="C291" s="474">
        <v>39</v>
      </c>
      <c r="D291" s="289">
        <v>2</v>
      </c>
    </row>
    <row r="292" spans="2:8" x14ac:dyDescent="0.2">
      <c r="B292" s="1" t="s">
        <v>1220</v>
      </c>
      <c r="C292" s="455">
        <v>39</v>
      </c>
      <c r="D292" s="289">
        <v>3.6</v>
      </c>
    </row>
    <row r="293" spans="2:8" x14ac:dyDescent="0.2">
      <c r="B293" s="474" t="s">
        <v>1525</v>
      </c>
      <c r="C293" s="288">
        <v>34.000000000000028</v>
      </c>
      <c r="D293" s="289">
        <v>6</v>
      </c>
      <c r="G293" s="288"/>
      <c r="H293" s="289"/>
    </row>
    <row r="294" spans="2:8" x14ac:dyDescent="0.2">
      <c r="B294" s="474" t="s">
        <v>1526</v>
      </c>
      <c r="C294" s="288">
        <v>46.000000000000043</v>
      </c>
      <c r="D294" s="289">
        <v>0</v>
      </c>
    </row>
    <row r="295" spans="2:8" x14ac:dyDescent="0.2">
      <c r="B295" s="474" t="s">
        <v>1527</v>
      </c>
      <c r="C295" s="288">
        <v>42.999999999999929</v>
      </c>
      <c r="D295" s="289">
        <v>0</v>
      </c>
      <c r="G295" s="477"/>
      <c r="H295" s="289"/>
    </row>
    <row r="296" spans="2:8" x14ac:dyDescent="0.2">
      <c r="B296" s="474" t="s">
        <v>1528</v>
      </c>
      <c r="C296" s="288">
        <v>36</v>
      </c>
      <c r="D296" s="289">
        <v>10</v>
      </c>
      <c r="G296" s="477"/>
      <c r="H296" s="289"/>
    </row>
    <row r="297" spans="2:8" x14ac:dyDescent="0.2">
      <c r="B297" s="474" t="s">
        <v>1529</v>
      </c>
      <c r="C297" s="288">
        <v>36</v>
      </c>
      <c r="D297" s="289">
        <v>30</v>
      </c>
      <c r="G297" s="477"/>
      <c r="H297" s="289"/>
    </row>
    <row r="298" spans="2:8" x14ac:dyDescent="0.2">
      <c r="B298" s="474" t="s">
        <v>1530</v>
      </c>
      <c r="C298" s="288">
        <v>36</v>
      </c>
      <c r="D298" s="289">
        <v>4.5</v>
      </c>
      <c r="G298" s="477"/>
      <c r="H298" s="289"/>
    </row>
    <row r="299" spans="2:8" x14ac:dyDescent="0.2">
      <c r="B299" s="474" t="s">
        <v>1531</v>
      </c>
      <c r="C299" s="288">
        <v>36</v>
      </c>
      <c r="D299" s="289">
        <v>8</v>
      </c>
      <c r="G299" s="477"/>
      <c r="H299" s="289"/>
    </row>
    <row r="300" spans="2:8" x14ac:dyDescent="0.2">
      <c r="B300" s="474" t="s">
        <v>1532</v>
      </c>
      <c r="C300" s="288">
        <v>36</v>
      </c>
      <c r="D300" s="289">
        <v>4</v>
      </c>
      <c r="G300" s="477"/>
      <c r="H300" s="289"/>
    </row>
    <row r="301" spans="2:8" x14ac:dyDescent="0.2">
      <c r="B301" s="474" t="s">
        <v>1533</v>
      </c>
      <c r="C301" s="288">
        <v>36</v>
      </c>
      <c r="D301" s="289">
        <v>2</v>
      </c>
      <c r="G301" s="477"/>
      <c r="H301" s="289"/>
    </row>
    <row r="302" spans="2:8" x14ac:dyDescent="0.2">
      <c r="B302" s="474" t="s">
        <v>1534</v>
      </c>
      <c r="C302" s="288">
        <v>36</v>
      </c>
      <c r="D302" s="289">
        <v>9</v>
      </c>
      <c r="G302" s="477"/>
      <c r="H302" s="289"/>
    </row>
    <row r="303" spans="2:8" x14ac:dyDescent="0.2">
      <c r="B303" s="474" t="s">
        <v>1535</v>
      </c>
      <c r="C303" s="288">
        <v>36</v>
      </c>
      <c r="D303" s="289">
        <v>2</v>
      </c>
      <c r="G303" s="477"/>
      <c r="H303" s="289"/>
    </row>
    <row r="304" spans="2:8" x14ac:dyDescent="0.2">
      <c r="B304" s="474" t="s">
        <v>1536</v>
      </c>
      <c r="C304" s="288">
        <v>36</v>
      </c>
      <c r="D304" s="289">
        <v>7</v>
      </c>
      <c r="G304" s="477"/>
      <c r="H304" s="289"/>
    </row>
    <row r="305" spans="2:8" x14ac:dyDescent="0.2">
      <c r="B305" s="474" t="s">
        <v>1537</v>
      </c>
      <c r="C305" s="288">
        <v>36</v>
      </c>
      <c r="D305" s="289">
        <v>3</v>
      </c>
    </row>
    <row r="306" spans="2:8" x14ac:dyDescent="0.2">
      <c r="B306" s="1" t="s">
        <v>1428</v>
      </c>
      <c r="C306" s="455">
        <v>25</v>
      </c>
      <c r="D306" s="289">
        <v>485</v>
      </c>
      <c r="G306" s="477"/>
      <c r="H306" s="289"/>
    </row>
    <row r="307" spans="2:8" x14ac:dyDescent="0.2">
      <c r="B307" s="474" t="s">
        <v>1409</v>
      </c>
      <c r="C307" s="477">
        <v>34.000000000000028</v>
      </c>
      <c r="D307" s="289">
        <v>335</v>
      </c>
      <c r="G307" s="477"/>
      <c r="H307" s="289"/>
    </row>
    <row r="308" spans="2:8" x14ac:dyDescent="0.2">
      <c r="B308" s="474" t="s">
        <v>1397</v>
      </c>
      <c r="C308" s="474">
        <v>34.000000000000028</v>
      </c>
      <c r="D308" s="289">
        <v>185</v>
      </c>
      <c r="G308" s="477"/>
      <c r="H308" s="289"/>
    </row>
    <row r="309" spans="2:8" x14ac:dyDescent="0.2">
      <c r="B309" s="474" t="s">
        <v>1477</v>
      </c>
      <c r="C309" s="477">
        <v>32.000000000000028</v>
      </c>
      <c r="D309" s="289">
        <v>1</v>
      </c>
      <c r="G309" s="477"/>
      <c r="H309" s="289"/>
    </row>
    <row r="310" spans="2:8" x14ac:dyDescent="0.2">
      <c r="B310" s="474" t="s">
        <v>1198</v>
      </c>
      <c r="C310" s="477">
        <v>35</v>
      </c>
      <c r="D310" s="289">
        <v>6</v>
      </c>
    </row>
    <row r="311" spans="2:8" x14ac:dyDescent="0.2">
      <c r="B311" s="474" t="s">
        <v>1199</v>
      </c>
      <c r="C311" s="474">
        <v>35</v>
      </c>
      <c r="D311" s="289">
        <v>10</v>
      </c>
    </row>
    <row r="312" spans="2:8" x14ac:dyDescent="0.2">
      <c r="B312" s="474" t="s">
        <v>1104</v>
      </c>
      <c r="C312" s="288">
        <v>37</v>
      </c>
      <c r="D312" s="289">
        <v>2.5</v>
      </c>
      <c r="G312" s="477"/>
      <c r="H312" s="289"/>
    </row>
    <row r="313" spans="2:8" x14ac:dyDescent="0.2">
      <c r="B313" s="474" t="s">
        <v>1105</v>
      </c>
      <c r="C313" s="477">
        <v>36.000000000000028</v>
      </c>
      <c r="D313" s="289">
        <v>1.8</v>
      </c>
    </row>
    <row r="314" spans="2:8" x14ac:dyDescent="0.2">
      <c r="B314" s="474" t="s">
        <v>1106</v>
      </c>
      <c r="C314" s="474">
        <v>36.000000000000028</v>
      </c>
      <c r="D314" s="289">
        <v>1.8</v>
      </c>
    </row>
    <row r="315" spans="2:8" x14ac:dyDescent="0.2">
      <c r="B315" s="474" t="s">
        <v>1173</v>
      </c>
      <c r="C315" s="474">
        <v>36.000000000000028</v>
      </c>
      <c r="D315" s="289">
        <v>3.6</v>
      </c>
      <c r="G315" s="288"/>
      <c r="H315" s="289"/>
    </row>
    <row r="316" spans="2:8" x14ac:dyDescent="0.2">
      <c r="B316" s="1" t="s">
        <v>1250</v>
      </c>
      <c r="C316" s="455">
        <v>33</v>
      </c>
      <c r="D316" s="289">
        <v>1</v>
      </c>
      <c r="G316" s="477"/>
      <c r="H316" s="289"/>
    </row>
    <row r="317" spans="2:8" x14ac:dyDescent="0.2">
      <c r="B317" s="474" t="s">
        <v>1240</v>
      </c>
      <c r="C317" s="474">
        <v>29</v>
      </c>
      <c r="D317" s="289">
        <v>2.2999999999999998</v>
      </c>
      <c r="G317" s="477"/>
      <c r="H317" s="289"/>
    </row>
    <row r="318" spans="2:8" x14ac:dyDescent="0.2">
      <c r="B318" s="474" t="s">
        <v>1371</v>
      </c>
      <c r="C318" s="477">
        <v>36.000000000000028</v>
      </c>
      <c r="D318" s="289">
        <v>4</v>
      </c>
      <c r="G318" s="477"/>
      <c r="H318" s="289"/>
    </row>
    <row r="319" spans="2:8" x14ac:dyDescent="0.2">
      <c r="B319" s="474" t="s">
        <v>1365</v>
      </c>
      <c r="C319" s="474">
        <v>36.000000000000028</v>
      </c>
      <c r="D319" s="289">
        <v>19</v>
      </c>
      <c r="G319" s="477"/>
      <c r="H319" s="289"/>
    </row>
    <row r="320" spans="2:8" x14ac:dyDescent="0.2">
      <c r="B320" s="474" t="s">
        <v>1487</v>
      </c>
      <c r="C320" s="474">
        <v>34.999999999999922</v>
      </c>
      <c r="D320" s="289">
        <v>1</v>
      </c>
      <c r="G320" s="477"/>
      <c r="H320" s="289"/>
    </row>
    <row r="321" spans="2:8" x14ac:dyDescent="0.2">
      <c r="B321" s="474" t="s">
        <v>1222</v>
      </c>
      <c r="C321" s="477">
        <v>39</v>
      </c>
      <c r="D321" s="289">
        <v>1.8</v>
      </c>
      <c r="G321" s="477"/>
      <c r="H321" s="289"/>
    </row>
    <row r="322" spans="2:8" x14ac:dyDescent="0.2">
      <c r="B322" s="474" t="s">
        <v>1107</v>
      </c>
      <c r="C322" s="474">
        <v>38</v>
      </c>
      <c r="D322" s="289">
        <v>2.75</v>
      </c>
      <c r="G322" s="477"/>
      <c r="H322" s="289"/>
    </row>
    <row r="323" spans="2:8" x14ac:dyDescent="0.2">
      <c r="B323" s="474" t="s">
        <v>1108</v>
      </c>
      <c r="C323" s="477">
        <v>38</v>
      </c>
      <c r="D323" s="289">
        <v>1.5</v>
      </c>
    </row>
    <row r="324" spans="2:8" x14ac:dyDescent="0.2">
      <c r="B324" s="474" t="s">
        <v>1109</v>
      </c>
      <c r="C324" s="477">
        <v>38</v>
      </c>
      <c r="D324" s="289">
        <v>1.75</v>
      </c>
    </row>
    <row r="325" spans="2:8" x14ac:dyDescent="0.2">
      <c r="B325" s="474" t="s">
        <v>1538</v>
      </c>
      <c r="C325" s="288">
        <v>8.999999999999897</v>
      </c>
      <c r="D325" s="289">
        <v>10</v>
      </c>
      <c r="G325" s="477"/>
      <c r="H325" s="289"/>
    </row>
    <row r="326" spans="2:8" x14ac:dyDescent="0.2">
      <c r="B326" s="474" t="s">
        <v>1539</v>
      </c>
      <c r="C326" s="288">
        <v>30.000000000000028</v>
      </c>
      <c r="D326" s="289">
        <v>35</v>
      </c>
      <c r="G326" s="477"/>
      <c r="H326" s="289"/>
    </row>
    <row r="327" spans="2:8" x14ac:dyDescent="0.2">
      <c r="B327" s="474" t="s">
        <v>137</v>
      </c>
      <c r="C327" s="477"/>
      <c r="G327" s="477"/>
      <c r="H327" s="289"/>
    </row>
    <row r="328" spans="2:8" x14ac:dyDescent="0.2">
      <c r="B328" s="474" t="s">
        <v>1540</v>
      </c>
      <c r="C328" s="288">
        <v>36.000000000000028</v>
      </c>
      <c r="D328" s="289">
        <v>80</v>
      </c>
    </row>
    <row r="329" spans="2:8" x14ac:dyDescent="0.2">
      <c r="B329" s="474" t="s">
        <v>1625</v>
      </c>
      <c r="C329" s="477">
        <v>37</v>
      </c>
      <c r="D329" s="289">
        <v>2.4</v>
      </c>
      <c r="G329" s="477"/>
      <c r="H329" s="289"/>
    </row>
    <row r="330" spans="2:8" x14ac:dyDescent="0.2">
      <c r="B330" s="474" t="s">
        <v>1622</v>
      </c>
      <c r="C330" s="477">
        <v>37</v>
      </c>
      <c r="D330" s="289">
        <v>2.1</v>
      </c>
      <c r="G330" s="477"/>
      <c r="H330" s="289"/>
    </row>
    <row r="331" spans="2:8" x14ac:dyDescent="0.2">
      <c r="B331" s="474" t="s">
        <v>1623</v>
      </c>
      <c r="C331" s="477">
        <v>37</v>
      </c>
      <c r="D331" s="289">
        <v>2.6</v>
      </c>
      <c r="G331" s="477"/>
      <c r="H331" s="289"/>
    </row>
    <row r="332" spans="2:8" x14ac:dyDescent="0.2">
      <c r="B332" s="474" t="s">
        <v>1626</v>
      </c>
      <c r="C332" s="477">
        <v>35</v>
      </c>
      <c r="D332" s="289">
        <v>5.4</v>
      </c>
      <c r="G332" s="477"/>
      <c r="H332" s="289"/>
    </row>
    <row r="333" spans="2:8" x14ac:dyDescent="0.2">
      <c r="B333" s="1" t="s">
        <v>1628</v>
      </c>
      <c r="C333" s="455">
        <v>37</v>
      </c>
      <c r="D333" s="289">
        <v>7.5</v>
      </c>
    </row>
    <row r="334" spans="2:8" x14ac:dyDescent="0.2">
      <c r="B334" s="474" t="s">
        <v>1624</v>
      </c>
      <c r="C334" s="477">
        <v>37</v>
      </c>
      <c r="D334" s="289">
        <v>2.2000000000000002</v>
      </c>
    </row>
    <row r="335" spans="2:8" x14ac:dyDescent="0.2">
      <c r="B335" s="474" t="s">
        <v>1627</v>
      </c>
      <c r="C335" s="474">
        <v>36</v>
      </c>
      <c r="D335" s="289">
        <v>3.7</v>
      </c>
      <c r="F335" s="476"/>
      <c r="G335" s="477"/>
      <c r="H335" s="289"/>
    </row>
    <row r="336" spans="2:8" x14ac:dyDescent="0.2">
      <c r="B336" s="474" t="s">
        <v>1631</v>
      </c>
      <c r="C336" s="477">
        <v>34</v>
      </c>
      <c r="D336" s="289">
        <v>14.5</v>
      </c>
      <c r="G336" s="477"/>
      <c r="H336" s="289"/>
    </row>
    <row r="337" spans="2:8" x14ac:dyDescent="0.2">
      <c r="B337" s="1" t="s">
        <v>1630</v>
      </c>
      <c r="C337" s="455">
        <v>39</v>
      </c>
      <c r="D337" s="289">
        <v>3</v>
      </c>
    </row>
    <row r="338" spans="2:8" x14ac:dyDescent="0.2">
      <c r="B338" s="474" t="s">
        <v>1629</v>
      </c>
      <c r="C338" s="477">
        <v>39</v>
      </c>
      <c r="D338" s="289">
        <v>3</v>
      </c>
      <c r="G338" s="477"/>
      <c r="H338" s="289"/>
    </row>
    <row r="339" spans="2:8" x14ac:dyDescent="0.2">
      <c r="B339" s="474" t="s">
        <v>1390</v>
      </c>
      <c r="C339" s="474">
        <v>36.000000000000028</v>
      </c>
      <c r="D339" s="289">
        <v>38</v>
      </c>
      <c r="G339" s="477"/>
      <c r="H339" s="289"/>
    </row>
    <row r="340" spans="2:8" x14ac:dyDescent="0.2">
      <c r="B340" s="474" t="s">
        <v>1394</v>
      </c>
      <c r="C340" s="474">
        <v>36.000000000000028</v>
      </c>
      <c r="D340" s="289">
        <v>57</v>
      </c>
      <c r="G340" s="477"/>
      <c r="H340" s="289"/>
    </row>
    <row r="341" spans="2:8" x14ac:dyDescent="0.2">
      <c r="B341" s="474" t="s">
        <v>1366</v>
      </c>
      <c r="C341" s="477">
        <v>36.000000000000028</v>
      </c>
      <c r="D341" s="289">
        <v>19</v>
      </c>
      <c r="G341" s="477"/>
      <c r="H341" s="289"/>
    </row>
    <row r="342" spans="2:8" x14ac:dyDescent="0.2">
      <c r="B342" s="474" t="s">
        <v>1372</v>
      </c>
      <c r="C342" s="477">
        <v>36.000000000000028</v>
      </c>
      <c r="D342" s="289">
        <v>23</v>
      </c>
    </row>
    <row r="343" spans="2:8" x14ac:dyDescent="0.2">
      <c r="B343" s="474" t="s">
        <v>1310</v>
      </c>
      <c r="C343" s="477">
        <v>33</v>
      </c>
      <c r="D343" s="289">
        <v>38</v>
      </c>
      <c r="G343" s="477"/>
      <c r="H343" s="289"/>
    </row>
    <row r="344" spans="2:8" x14ac:dyDescent="0.2">
      <c r="B344" s="474" t="s">
        <v>1311</v>
      </c>
      <c r="C344" s="477">
        <v>33</v>
      </c>
      <c r="D344" s="289">
        <v>45</v>
      </c>
      <c r="F344" s="1"/>
      <c r="G344" s="455"/>
      <c r="H344" s="456"/>
    </row>
    <row r="345" spans="2:8" x14ac:dyDescent="0.2">
      <c r="B345" s="474" t="s">
        <v>1308</v>
      </c>
      <c r="C345" s="474">
        <v>35</v>
      </c>
      <c r="D345" s="289">
        <v>8</v>
      </c>
      <c r="G345" s="477"/>
      <c r="H345" s="289"/>
    </row>
    <row r="346" spans="2:8" x14ac:dyDescent="0.2">
      <c r="B346" s="474" t="s">
        <v>1312</v>
      </c>
      <c r="C346" s="477">
        <v>35</v>
      </c>
      <c r="D346" s="289">
        <v>76</v>
      </c>
      <c r="F346" s="1"/>
      <c r="G346" s="455"/>
      <c r="H346" s="456"/>
    </row>
    <row r="347" spans="2:8" x14ac:dyDescent="0.2">
      <c r="B347" s="474" t="s">
        <v>1309</v>
      </c>
      <c r="C347" s="474">
        <v>34.000000000000028</v>
      </c>
      <c r="D347" s="289">
        <v>20</v>
      </c>
      <c r="F347" s="1"/>
      <c r="G347" s="455"/>
      <c r="H347" s="456"/>
    </row>
    <row r="348" spans="2:8" x14ac:dyDescent="0.2">
      <c r="B348" s="474" t="s">
        <v>1439</v>
      </c>
      <c r="C348" s="477">
        <v>25</v>
      </c>
      <c r="D348" s="289">
        <v>530</v>
      </c>
      <c r="F348" s="1"/>
      <c r="G348" s="455"/>
      <c r="H348" s="456"/>
    </row>
    <row r="349" spans="2:8" x14ac:dyDescent="0.2">
      <c r="B349" s="474" t="s">
        <v>1410</v>
      </c>
      <c r="C349" s="477">
        <v>34.000000000000028</v>
      </c>
      <c r="D349" s="289">
        <v>340</v>
      </c>
    </row>
    <row r="350" spans="2:8" x14ac:dyDescent="0.2">
      <c r="B350" s="474" t="s">
        <v>1373</v>
      </c>
      <c r="C350" s="474">
        <v>33</v>
      </c>
      <c r="D350" s="289">
        <v>12</v>
      </c>
      <c r="F350" s="1"/>
      <c r="G350" s="455"/>
      <c r="H350" s="456"/>
    </row>
    <row r="351" spans="2:8" x14ac:dyDescent="0.2">
      <c r="B351" s="474" t="s">
        <v>1200</v>
      </c>
      <c r="C351" s="477">
        <v>35</v>
      </c>
      <c r="D351" s="289">
        <v>6</v>
      </c>
    </row>
    <row r="352" spans="2:8" x14ac:dyDescent="0.2">
      <c r="B352" s="474" t="s">
        <v>1110</v>
      </c>
      <c r="C352" s="474">
        <v>37</v>
      </c>
      <c r="D352" s="289">
        <v>3.8</v>
      </c>
      <c r="F352" s="1"/>
      <c r="G352" s="455"/>
      <c r="H352" s="456"/>
    </row>
    <row r="353" spans="2:8" x14ac:dyDescent="0.2">
      <c r="B353" s="474" t="s">
        <v>1452</v>
      </c>
      <c r="C353" s="477">
        <v>25</v>
      </c>
      <c r="D353" s="289">
        <v>453</v>
      </c>
      <c r="F353" s="1"/>
      <c r="G353" s="455"/>
      <c r="H353" s="456"/>
    </row>
    <row r="354" spans="2:8" x14ac:dyDescent="0.2">
      <c r="B354" s="474" t="s">
        <v>1111</v>
      </c>
      <c r="C354" s="477">
        <v>36.000000000000028</v>
      </c>
      <c r="D354" s="289">
        <v>1.6</v>
      </c>
      <c r="F354" s="1"/>
      <c r="G354" s="455"/>
      <c r="H354" s="456"/>
    </row>
    <row r="355" spans="2:8" x14ac:dyDescent="0.2">
      <c r="B355" s="474" t="s">
        <v>1241</v>
      </c>
      <c r="C355" s="474">
        <v>29</v>
      </c>
      <c r="D355" s="289">
        <v>3.2</v>
      </c>
      <c r="F355" s="1"/>
      <c r="G355" s="455"/>
      <c r="H355" s="456"/>
    </row>
    <row r="356" spans="2:8" x14ac:dyDescent="0.2">
      <c r="B356" s="474" t="s">
        <v>1313</v>
      </c>
      <c r="C356" s="474">
        <v>30.000000000000028</v>
      </c>
      <c r="D356" s="289">
        <v>125</v>
      </c>
      <c r="F356" s="1"/>
      <c r="G356" s="455"/>
      <c r="H356" s="456"/>
    </row>
    <row r="357" spans="2:8" x14ac:dyDescent="0.2">
      <c r="B357" s="474" t="s">
        <v>1223</v>
      </c>
      <c r="C357" s="477">
        <v>37</v>
      </c>
      <c r="D357" s="289">
        <v>1.8</v>
      </c>
      <c r="F357" s="1"/>
      <c r="G357" s="455"/>
      <c r="H357" s="456"/>
    </row>
    <row r="358" spans="2:8" x14ac:dyDescent="0.2">
      <c r="B358" s="474" t="s">
        <v>108</v>
      </c>
      <c r="F358" s="1"/>
      <c r="G358" s="455"/>
      <c r="H358" s="456"/>
    </row>
    <row r="359" spans="2:8" x14ac:dyDescent="0.2">
      <c r="B359" s="474" t="s">
        <v>1387</v>
      </c>
      <c r="C359" s="474">
        <v>35</v>
      </c>
      <c r="D359" s="289">
        <v>25.25</v>
      </c>
      <c r="F359" s="1"/>
      <c r="G359" s="455"/>
      <c r="H359" s="456"/>
    </row>
    <row r="360" spans="2:8" x14ac:dyDescent="0.2">
      <c r="B360" s="474" t="s">
        <v>1429</v>
      </c>
      <c r="C360" s="474">
        <v>25</v>
      </c>
      <c r="D360" s="289">
        <v>555</v>
      </c>
      <c r="F360" s="1"/>
      <c r="G360" s="455"/>
      <c r="H360" s="456"/>
    </row>
    <row r="361" spans="2:8" x14ac:dyDescent="0.2">
      <c r="B361" s="474" t="s">
        <v>1112</v>
      </c>
      <c r="C361" s="474">
        <v>38</v>
      </c>
      <c r="D361" s="289">
        <v>2.0499999999999998</v>
      </c>
      <c r="G361" s="477"/>
      <c r="H361" s="289"/>
    </row>
    <row r="362" spans="2:8" x14ac:dyDescent="0.2">
      <c r="B362" s="474" t="s">
        <v>1314</v>
      </c>
      <c r="C362" s="477">
        <v>35</v>
      </c>
      <c r="D362" s="289">
        <v>15</v>
      </c>
      <c r="G362" s="477"/>
      <c r="H362" s="289"/>
    </row>
    <row r="363" spans="2:8" x14ac:dyDescent="0.2">
      <c r="B363" s="474" t="s">
        <v>1411</v>
      </c>
      <c r="C363" s="477">
        <v>34.000000000000028</v>
      </c>
      <c r="D363" s="289">
        <v>405.5</v>
      </c>
      <c r="G363" s="477"/>
      <c r="H363" s="289"/>
    </row>
    <row r="364" spans="2:8" x14ac:dyDescent="0.2">
      <c r="B364" s="474" t="s">
        <v>1318</v>
      </c>
      <c r="C364" s="474">
        <v>35</v>
      </c>
      <c r="D364" s="289">
        <v>171</v>
      </c>
      <c r="G364" s="288"/>
      <c r="H364" s="289"/>
    </row>
    <row r="365" spans="2:8" x14ac:dyDescent="0.2">
      <c r="B365" s="474" t="s">
        <v>1315</v>
      </c>
      <c r="C365" s="477">
        <v>33</v>
      </c>
      <c r="D365" s="289">
        <v>47.5</v>
      </c>
      <c r="G365" s="477"/>
      <c r="H365" s="289"/>
    </row>
    <row r="366" spans="2:8" x14ac:dyDescent="0.2">
      <c r="B366" s="474" t="s">
        <v>1316</v>
      </c>
      <c r="C366" s="477">
        <v>35</v>
      </c>
      <c r="D366" s="289">
        <v>64.5</v>
      </c>
      <c r="G366" s="477"/>
      <c r="H366" s="289"/>
    </row>
    <row r="367" spans="2:8" x14ac:dyDescent="0.2">
      <c r="B367" s="474" t="s">
        <v>1317</v>
      </c>
      <c r="C367" s="477">
        <v>33</v>
      </c>
      <c r="D367" s="289">
        <v>103</v>
      </c>
      <c r="G367" s="477"/>
      <c r="H367" s="289"/>
    </row>
    <row r="368" spans="2:8" x14ac:dyDescent="0.2">
      <c r="B368" s="474" t="s">
        <v>1412</v>
      </c>
      <c r="C368" s="477">
        <v>34.000000000000028</v>
      </c>
      <c r="D368" s="289">
        <v>175.3</v>
      </c>
      <c r="G368" s="477"/>
      <c r="H368" s="289"/>
    </row>
    <row r="369" spans="2:8" x14ac:dyDescent="0.2">
      <c r="B369" s="474" t="s">
        <v>1224</v>
      </c>
      <c r="C369" s="477">
        <v>39</v>
      </c>
      <c r="D369" s="289">
        <v>2.9</v>
      </c>
      <c r="G369" s="477"/>
      <c r="H369" s="289"/>
    </row>
    <row r="370" spans="2:8" x14ac:dyDescent="0.2">
      <c r="B370" s="474" t="s">
        <v>1113</v>
      </c>
      <c r="C370" s="477">
        <v>38</v>
      </c>
      <c r="D370" s="289">
        <v>2.0499999999999998</v>
      </c>
      <c r="G370" s="477"/>
      <c r="H370" s="289"/>
    </row>
    <row r="371" spans="2:8" x14ac:dyDescent="0.2">
      <c r="B371" s="474" t="s">
        <v>1201</v>
      </c>
      <c r="C371" s="477">
        <v>35</v>
      </c>
      <c r="D371" s="289">
        <v>8.1</v>
      </c>
      <c r="G371" s="477"/>
      <c r="H371" s="289"/>
    </row>
    <row r="372" spans="2:8" x14ac:dyDescent="0.2">
      <c r="B372" s="474" t="s">
        <v>1114</v>
      </c>
      <c r="C372" s="288">
        <v>38.000000000000036</v>
      </c>
      <c r="D372" s="289">
        <v>1.85</v>
      </c>
      <c r="G372" s="477"/>
      <c r="H372" s="289"/>
    </row>
    <row r="373" spans="2:8" x14ac:dyDescent="0.2">
      <c r="B373" s="474" t="s">
        <v>1115</v>
      </c>
      <c r="C373" s="474">
        <v>38</v>
      </c>
      <c r="D373" s="289">
        <v>1.5</v>
      </c>
      <c r="G373" s="477"/>
      <c r="H373" s="289"/>
    </row>
    <row r="374" spans="2:8" x14ac:dyDescent="0.2">
      <c r="B374" s="474" t="s">
        <v>1116</v>
      </c>
      <c r="C374" s="474">
        <v>38</v>
      </c>
      <c r="D374" s="289">
        <v>2.0499999999999998</v>
      </c>
      <c r="G374" s="477"/>
      <c r="H374" s="289"/>
    </row>
    <row r="375" spans="2:8" x14ac:dyDescent="0.2">
      <c r="B375" s="474" t="s">
        <v>1440</v>
      </c>
      <c r="C375" s="477">
        <v>25</v>
      </c>
      <c r="D375" s="289">
        <v>525</v>
      </c>
    </row>
    <row r="376" spans="2:8" x14ac:dyDescent="0.2">
      <c r="B376" s="474" t="s">
        <v>1117</v>
      </c>
      <c r="C376" s="474">
        <v>38</v>
      </c>
      <c r="D376" s="289">
        <v>1.4</v>
      </c>
    </row>
    <row r="377" spans="2:8" x14ac:dyDescent="0.2">
      <c r="B377" s="474" t="s">
        <v>1488</v>
      </c>
      <c r="C377" s="474">
        <v>36.000000000000028</v>
      </c>
      <c r="D377" s="289">
        <v>2.35</v>
      </c>
    </row>
    <row r="378" spans="2:8" x14ac:dyDescent="0.2">
      <c r="B378" s="474" t="s">
        <v>1118</v>
      </c>
      <c r="C378" s="474">
        <v>38</v>
      </c>
      <c r="D378" s="289">
        <v>1.5</v>
      </c>
      <c r="G378" s="477"/>
      <c r="H378" s="289"/>
    </row>
    <row r="379" spans="2:8" x14ac:dyDescent="0.2">
      <c r="B379" s="474" t="s">
        <v>1119</v>
      </c>
      <c r="C379" s="477">
        <v>38</v>
      </c>
      <c r="D379" s="289">
        <v>2.0499999999999998</v>
      </c>
      <c r="G379" s="477"/>
      <c r="H379" s="289"/>
    </row>
    <row r="380" spans="2:8" x14ac:dyDescent="0.2">
      <c r="B380" s="474" t="s">
        <v>1120</v>
      </c>
      <c r="C380" s="477">
        <v>38</v>
      </c>
      <c r="D380" s="289">
        <v>3.5999999999999996</v>
      </c>
      <c r="G380" s="477"/>
      <c r="H380" s="289"/>
    </row>
    <row r="381" spans="2:8" x14ac:dyDescent="0.2">
      <c r="B381" s="474" t="s">
        <v>1121</v>
      </c>
      <c r="C381" s="288">
        <v>38</v>
      </c>
      <c r="D381" s="289">
        <v>3.5999999999999996</v>
      </c>
      <c r="G381" s="477"/>
      <c r="H381" s="289"/>
    </row>
    <row r="382" spans="2:8" x14ac:dyDescent="0.2">
      <c r="B382" s="474" t="s">
        <v>1122</v>
      </c>
      <c r="C382" s="474">
        <v>38.000000000000036</v>
      </c>
      <c r="D382" s="289">
        <v>1.9</v>
      </c>
    </row>
    <row r="383" spans="2:8" x14ac:dyDescent="0.2">
      <c r="B383" s="474" t="s">
        <v>1123</v>
      </c>
      <c r="C383" s="477">
        <v>37</v>
      </c>
      <c r="D383" s="289">
        <v>3.0999999999999996</v>
      </c>
      <c r="G383" s="477"/>
      <c r="H383" s="289"/>
    </row>
    <row r="384" spans="2:8" x14ac:dyDescent="0.2">
      <c r="B384" s="474" t="s">
        <v>1124</v>
      </c>
      <c r="C384" s="477">
        <v>38</v>
      </c>
      <c r="D384" s="289">
        <v>3.5999999999999996</v>
      </c>
      <c r="G384" s="477"/>
      <c r="H384" s="289"/>
    </row>
    <row r="385" spans="2:8" x14ac:dyDescent="0.2">
      <c r="B385" s="474" t="s">
        <v>1125</v>
      </c>
      <c r="C385" s="477">
        <v>38</v>
      </c>
      <c r="D385" s="289">
        <v>3.5999999999999996</v>
      </c>
      <c r="G385" s="477"/>
      <c r="H385" s="289"/>
    </row>
    <row r="386" spans="2:8" x14ac:dyDescent="0.2">
      <c r="B386" s="474" t="s">
        <v>1126</v>
      </c>
      <c r="C386" s="477">
        <v>38</v>
      </c>
      <c r="D386" s="289">
        <v>3.5999999999999996</v>
      </c>
      <c r="G386" s="477"/>
      <c r="H386" s="289"/>
    </row>
    <row r="387" spans="2:8" x14ac:dyDescent="0.2">
      <c r="B387" s="474" t="s">
        <v>1127</v>
      </c>
      <c r="C387" s="477">
        <v>38</v>
      </c>
      <c r="D387" s="289">
        <v>3.5999999999999996</v>
      </c>
      <c r="G387" s="477"/>
      <c r="H387" s="289"/>
    </row>
    <row r="388" spans="2:8" x14ac:dyDescent="0.2">
      <c r="B388" s="474" t="s">
        <v>109</v>
      </c>
      <c r="C388" s="477"/>
      <c r="G388" s="477"/>
      <c r="H388" s="289"/>
    </row>
    <row r="389" spans="2:8" x14ac:dyDescent="0.2">
      <c r="B389" s="474" t="s">
        <v>112</v>
      </c>
      <c r="C389" s="474"/>
      <c r="G389" s="477"/>
      <c r="H389" s="289"/>
    </row>
    <row r="390" spans="2:8" x14ac:dyDescent="0.2">
      <c r="B390" s="474" t="s">
        <v>113</v>
      </c>
      <c r="C390" s="477"/>
      <c r="G390" s="477"/>
      <c r="H390" s="289"/>
    </row>
    <row r="391" spans="2:8" x14ac:dyDescent="0.2">
      <c r="B391" s="474" t="s">
        <v>104</v>
      </c>
      <c r="C391" s="474"/>
      <c r="G391" s="477"/>
      <c r="H391" s="289"/>
    </row>
    <row r="392" spans="2:8" x14ac:dyDescent="0.2">
      <c r="B392" s="474" t="s">
        <v>1398</v>
      </c>
      <c r="C392" s="477">
        <v>32.000000000000028</v>
      </c>
      <c r="D392" s="289">
        <v>115</v>
      </c>
      <c r="G392" s="477"/>
      <c r="H392" s="289"/>
    </row>
    <row r="393" spans="2:8" x14ac:dyDescent="0.2">
      <c r="B393" s="474" t="s">
        <v>130</v>
      </c>
      <c r="C393" s="477">
        <v>33</v>
      </c>
      <c r="D393" s="289">
        <v>110</v>
      </c>
      <c r="G393" s="477"/>
      <c r="H393" s="289"/>
    </row>
    <row r="394" spans="2:8" x14ac:dyDescent="0.2">
      <c r="B394" s="474" t="s">
        <v>123</v>
      </c>
      <c r="C394" s="474">
        <v>34.999999999999922</v>
      </c>
      <c r="D394" s="289">
        <v>15</v>
      </c>
      <c r="G394" s="477"/>
      <c r="H394" s="289"/>
    </row>
    <row r="395" spans="2:8" x14ac:dyDescent="0.2">
      <c r="B395" s="474" t="s">
        <v>132</v>
      </c>
      <c r="C395" s="477">
        <v>35</v>
      </c>
      <c r="D395" s="289">
        <v>170</v>
      </c>
    </row>
    <row r="396" spans="2:8" x14ac:dyDescent="0.2">
      <c r="B396" s="1" t="s">
        <v>133</v>
      </c>
      <c r="C396" s="455">
        <v>35</v>
      </c>
      <c r="D396" s="289">
        <v>190</v>
      </c>
    </row>
    <row r="397" spans="2:8" x14ac:dyDescent="0.2">
      <c r="B397" s="476" t="s">
        <v>124</v>
      </c>
      <c r="C397" s="477">
        <v>35</v>
      </c>
      <c r="D397" s="289">
        <v>25</v>
      </c>
    </row>
    <row r="398" spans="2:8" x14ac:dyDescent="0.2">
      <c r="B398" s="474" t="s">
        <v>125</v>
      </c>
      <c r="C398" s="477">
        <v>35</v>
      </c>
      <c r="D398" s="289">
        <v>35</v>
      </c>
      <c r="G398" s="477"/>
      <c r="H398" s="289"/>
    </row>
    <row r="399" spans="2:8" x14ac:dyDescent="0.2">
      <c r="B399" s="474" t="s">
        <v>126</v>
      </c>
      <c r="C399" s="474">
        <v>34.000000000000028</v>
      </c>
      <c r="D399" s="289">
        <v>45</v>
      </c>
      <c r="G399" s="477"/>
      <c r="H399" s="289"/>
    </row>
    <row r="400" spans="2:8" x14ac:dyDescent="0.2">
      <c r="B400" s="474" t="s">
        <v>127</v>
      </c>
      <c r="C400" s="477">
        <v>34.000000000000028</v>
      </c>
      <c r="D400" s="289">
        <v>55</v>
      </c>
      <c r="G400" s="477"/>
      <c r="H400" s="289"/>
    </row>
    <row r="401" spans="2:8" x14ac:dyDescent="0.2">
      <c r="B401" s="474" t="s">
        <v>128</v>
      </c>
      <c r="C401" s="477">
        <v>34.000000000000028</v>
      </c>
      <c r="D401" s="289">
        <v>70</v>
      </c>
      <c r="F401" s="1"/>
      <c r="G401" s="455"/>
      <c r="H401" s="456"/>
    </row>
    <row r="402" spans="2:8" x14ac:dyDescent="0.2">
      <c r="B402" s="474" t="s">
        <v>129</v>
      </c>
      <c r="C402" s="477">
        <v>34.000000000000028</v>
      </c>
      <c r="D402" s="289">
        <v>90</v>
      </c>
      <c r="G402" s="477"/>
      <c r="H402" s="289"/>
    </row>
    <row r="403" spans="2:8" x14ac:dyDescent="0.2">
      <c r="B403" s="474" t="s">
        <v>1413</v>
      </c>
      <c r="C403" s="477">
        <v>34.000000000000028</v>
      </c>
      <c r="D403" s="289">
        <v>350</v>
      </c>
      <c r="G403" s="477"/>
      <c r="H403" s="289"/>
    </row>
    <row r="404" spans="2:8" x14ac:dyDescent="0.2">
      <c r="B404" s="474" t="s">
        <v>1399</v>
      </c>
      <c r="C404" s="477">
        <v>34.000000000000028</v>
      </c>
      <c r="D404" s="289">
        <v>230</v>
      </c>
      <c r="F404" s="1"/>
      <c r="G404" s="455"/>
      <c r="H404" s="456"/>
    </row>
    <row r="405" spans="2:8" x14ac:dyDescent="0.2">
      <c r="B405" s="474" t="s">
        <v>1414</v>
      </c>
      <c r="C405" s="477">
        <v>34.000000000000028</v>
      </c>
      <c r="D405" s="289">
        <v>450</v>
      </c>
    </row>
    <row r="406" spans="2:8" x14ac:dyDescent="0.2">
      <c r="B406" s="474" t="s">
        <v>131</v>
      </c>
      <c r="C406" s="474">
        <v>33</v>
      </c>
      <c r="D406" s="289">
        <v>140</v>
      </c>
      <c r="G406" s="477"/>
      <c r="H406" s="289"/>
    </row>
    <row r="407" spans="2:8" x14ac:dyDescent="0.2">
      <c r="B407" s="474" t="s">
        <v>1128</v>
      </c>
      <c r="C407" s="477">
        <v>36.000000000000028</v>
      </c>
      <c r="D407" s="289">
        <v>1.6</v>
      </c>
      <c r="G407" s="477"/>
      <c r="H407" s="289"/>
    </row>
    <row r="408" spans="2:8" x14ac:dyDescent="0.2">
      <c r="B408" s="474" t="s">
        <v>1202</v>
      </c>
      <c r="C408" s="477">
        <v>35</v>
      </c>
      <c r="D408" s="289">
        <v>14</v>
      </c>
    </row>
    <row r="409" spans="2:8" x14ac:dyDescent="0.2">
      <c r="B409" s="474" t="s">
        <v>1129</v>
      </c>
      <c r="C409" s="477">
        <v>36.000000000000028</v>
      </c>
      <c r="D409" s="289">
        <v>2.8</v>
      </c>
      <c r="F409" s="1"/>
      <c r="G409" s="1"/>
      <c r="H409" s="1"/>
    </row>
    <row r="410" spans="2:8" x14ac:dyDescent="0.2">
      <c r="B410" s="474" t="s">
        <v>1453</v>
      </c>
      <c r="C410" s="474">
        <v>25</v>
      </c>
      <c r="D410" s="289">
        <v>340</v>
      </c>
      <c r="G410" s="477"/>
      <c r="H410" s="289"/>
    </row>
    <row r="411" spans="2:8" x14ac:dyDescent="0.2">
      <c r="B411" s="474" t="s">
        <v>1130</v>
      </c>
      <c r="C411" s="477">
        <v>37</v>
      </c>
      <c r="D411" s="289">
        <v>1.4</v>
      </c>
    </row>
    <row r="412" spans="2:8" x14ac:dyDescent="0.2">
      <c r="B412" s="474" t="s">
        <v>1174</v>
      </c>
      <c r="C412" s="474">
        <v>36.000000000000028</v>
      </c>
      <c r="D412" s="289">
        <v>2.8</v>
      </c>
      <c r="G412" s="477"/>
      <c r="H412" s="289"/>
    </row>
    <row r="413" spans="2:8" x14ac:dyDescent="0.2">
      <c r="B413" s="474" t="s">
        <v>1225</v>
      </c>
      <c r="C413" s="474">
        <v>39</v>
      </c>
      <c r="D413" s="289">
        <v>2.1</v>
      </c>
      <c r="F413" s="1"/>
      <c r="G413" s="455"/>
      <c r="H413" s="456"/>
    </row>
    <row r="414" spans="2:8" x14ac:dyDescent="0.2">
      <c r="B414" s="474" t="s">
        <v>1621</v>
      </c>
      <c r="C414" s="477">
        <v>43</v>
      </c>
      <c r="D414" s="289">
        <v>1.5</v>
      </c>
      <c r="G414" s="477"/>
      <c r="H414" s="289"/>
    </row>
    <row r="415" spans="2:8" x14ac:dyDescent="0.2">
      <c r="B415" s="474" t="s">
        <v>1131</v>
      </c>
      <c r="C415" s="477">
        <v>36.000000000000028</v>
      </c>
      <c r="D415" s="289">
        <v>2.75</v>
      </c>
      <c r="G415" s="477"/>
      <c r="H415" s="289"/>
    </row>
    <row r="416" spans="2:8" x14ac:dyDescent="0.2">
      <c r="B416" s="1" t="s">
        <v>1620</v>
      </c>
      <c r="C416" s="455">
        <v>33</v>
      </c>
      <c r="D416" s="289">
        <v>2.1</v>
      </c>
      <c r="G416" s="477"/>
      <c r="H416" s="289"/>
    </row>
    <row r="417" spans="2:8" x14ac:dyDescent="0.2">
      <c r="B417" s="474" t="s">
        <v>1619</v>
      </c>
      <c r="C417" s="474">
        <v>37</v>
      </c>
      <c r="D417" s="289">
        <v>1.6</v>
      </c>
    </row>
    <row r="418" spans="2:8" x14ac:dyDescent="0.2">
      <c r="B418" s="474" t="s">
        <v>1132</v>
      </c>
      <c r="C418" s="477">
        <v>37</v>
      </c>
      <c r="D418" s="289">
        <v>1.7</v>
      </c>
      <c r="G418" s="477"/>
      <c r="H418" s="289"/>
    </row>
    <row r="419" spans="2:8" x14ac:dyDescent="0.2">
      <c r="B419" s="474" t="s">
        <v>1133</v>
      </c>
      <c r="C419" s="477">
        <v>36.000000000000028</v>
      </c>
      <c r="D419" s="289">
        <v>3.5</v>
      </c>
      <c r="G419" s="477"/>
      <c r="H419" s="289"/>
    </row>
    <row r="420" spans="2:8" x14ac:dyDescent="0.2">
      <c r="B420" s="474" t="s">
        <v>1134</v>
      </c>
      <c r="C420" s="477">
        <v>37</v>
      </c>
      <c r="D420" s="289">
        <v>2.1</v>
      </c>
      <c r="G420" s="477"/>
      <c r="H420" s="289"/>
    </row>
    <row r="421" spans="2:8" x14ac:dyDescent="0.2">
      <c r="B421" s="474" t="s">
        <v>1226</v>
      </c>
      <c r="C421" s="474">
        <v>37</v>
      </c>
      <c r="D421" s="289">
        <v>3.7</v>
      </c>
    </row>
    <row r="422" spans="2:8" x14ac:dyDescent="0.2">
      <c r="B422" s="474" t="s">
        <v>1135</v>
      </c>
      <c r="C422" s="474">
        <v>36.000000000000028</v>
      </c>
      <c r="D422" s="289">
        <v>1.8</v>
      </c>
      <c r="G422" s="477"/>
      <c r="H422" s="289"/>
    </row>
    <row r="423" spans="2:8" x14ac:dyDescent="0.2">
      <c r="B423" s="474" t="s">
        <v>1136</v>
      </c>
      <c r="C423" s="474">
        <v>36</v>
      </c>
      <c r="D423" s="289">
        <v>2.2999999999999998</v>
      </c>
      <c r="G423" s="477"/>
      <c r="H423" s="289"/>
    </row>
    <row r="424" spans="2:8" x14ac:dyDescent="0.2">
      <c r="B424" s="474" t="s">
        <v>1228</v>
      </c>
      <c r="C424" s="474">
        <v>40.000000000000036</v>
      </c>
      <c r="D424" s="289">
        <v>3</v>
      </c>
      <c r="G424" s="477"/>
      <c r="H424" s="289"/>
    </row>
    <row r="425" spans="2:8" x14ac:dyDescent="0.2">
      <c r="B425" s="474" t="s">
        <v>1227</v>
      </c>
      <c r="C425" s="474">
        <v>40.000000000000036</v>
      </c>
      <c r="D425" s="289">
        <v>3.7</v>
      </c>
      <c r="G425" s="477"/>
      <c r="H425" s="289"/>
    </row>
    <row r="426" spans="2:8" x14ac:dyDescent="0.2">
      <c r="B426" s="474" t="s">
        <v>1541</v>
      </c>
      <c r="C426" s="288">
        <v>36.000000000000028</v>
      </c>
      <c r="D426" s="289">
        <v>0</v>
      </c>
      <c r="G426" s="477"/>
      <c r="H426" s="289"/>
    </row>
    <row r="427" spans="2:8" x14ac:dyDescent="0.2">
      <c r="B427" s="474" t="s">
        <v>143</v>
      </c>
      <c r="C427" s="477"/>
      <c r="G427" s="477"/>
      <c r="H427" s="289"/>
    </row>
    <row r="428" spans="2:8" x14ac:dyDescent="0.2">
      <c r="B428" s="474" t="s">
        <v>140</v>
      </c>
      <c r="C428" s="474"/>
      <c r="G428" s="477"/>
      <c r="H428" s="289"/>
    </row>
    <row r="429" spans="2:8" x14ac:dyDescent="0.2">
      <c r="B429" s="474" t="s">
        <v>145</v>
      </c>
      <c r="C429" s="477"/>
      <c r="G429" s="477"/>
      <c r="H429" s="289"/>
    </row>
    <row r="430" spans="2:8" x14ac:dyDescent="0.2">
      <c r="B430" s="474" t="s">
        <v>111</v>
      </c>
      <c r="C430" s="477"/>
      <c r="G430" s="477"/>
      <c r="H430" s="289"/>
    </row>
    <row r="431" spans="2:8" x14ac:dyDescent="0.2">
      <c r="B431" s="474" t="s">
        <v>1137</v>
      </c>
      <c r="C431" s="474">
        <v>37</v>
      </c>
      <c r="D431" s="289">
        <v>4.3499999999999996</v>
      </c>
      <c r="G431" s="477"/>
      <c r="H431" s="289"/>
    </row>
    <row r="432" spans="2:8" x14ac:dyDescent="0.2">
      <c r="B432" s="474" t="s">
        <v>1203</v>
      </c>
      <c r="C432" s="474">
        <v>35</v>
      </c>
      <c r="D432" s="289">
        <v>9.5</v>
      </c>
      <c r="F432" s="1"/>
      <c r="G432" s="455"/>
      <c r="H432" s="456"/>
    </row>
    <row r="433" spans="2:8" x14ac:dyDescent="0.2">
      <c r="B433" s="474" t="s">
        <v>1204</v>
      </c>
      <c r="C433" s="477">
        <v>35</v>
      </c>
      <c r="D433" s="289">
        <v>7.5</v>
      </c>
    </row>
    <row r="434" spans="2:8" x14ac:dyDescent="0.2">
      <c r="B434" s="474" t="s">
        <v>1138</v>
      </c>
      <c r="C434" s="474">
        <v>37</v>
      </c>
      <c r="D434" s="289">
        <v>1.77</v>
      </c>
      <c r="G434" s="477"/>
      <c r="H434" s="289"/>
    </row>
    <row r="435" spans="2:8" x14ac:dyDescent="0.2">
      <c r="B435" s="474" t="s">
        <v>1175</v>
      </c>
      <c r="C435" s="474">
        <v>36.000000000000028</v>
      </c>
      <c r="D435" s="289">
        <v>3.4499999999999997</v>
      </c>
      <c r="G435" s="477"/>
      <c r="H435" s="289"/>
    </row>
    <row r="436" spans="2:8" x14ac:dyDescent="0.2">
      <c r="B436" s="474" t="s">
        <v>1229</v>
      </c>
      <c r="C436" s="477">
        <v>39</v>
      </c>
      <c r="D436" s="289">
        <v>1.5</v>
      </c>
    </row>
    <row r="437" spans="2:8" x14ac:dyDescent="0.2">
      <c r="B437" s="474" t="s">
        <v>1388</v>
      </c>
      <c r="C437" s="474">
        <v>35</v>
      </c>
      <c r="D437" s="289">
        <v>27.2</v>
      </c>
      <c r="G437" s="477"/>
      <c r="H437" s="289"/>
    </row>
    <row r="438" spans="2:8" x14ac:dyDescent="0.2">
      <c r="B438" s="1" t="s">
        <v>1367</v>
      </c>
      <c r="C438" s="455">
        <v>36.000000000000028</v>
      </c>
      <c r="D438" s="289">
        <v>26.8</v>
      </c>
      <c r="G438" s="477"/>
      <c r="H438" s="289"/>
    </row>
    <row r="439" spans="2:8" x14ac:dyDescent="0.2">
      <c r="B439" s="476" t="s">
        <v>1139</v>
      </c>
      <c r="C439" s="477">
        <v>38</v>
      </c>
      <c r="D439" s="289">
        <v>2.4500000000000002</v>
      </c>
      <c r="F439" s="1"/>
      <c r="G439" s="455"/>
      <c r="H439" s="456"/>
    </row>
    <row r="440" spans="2:8" x14ac:dyDescent="0.2">
      <c r="B440" s="474" t="s">
        <v>1430</v>
      </c>
      <c r="C440" s="474">
        <v>25</v>
      </c>
      <c r="D440" s="289">
        <v>713.1</v>
      </c>
    </row>
    <row r="441" spans="2:8" x14ac:dyDescent="0.2">
      <c r="B441" s="474" t="s">
        <v>1400</v>
      </c>
      <c r="C441" s="477">
        <v>32.000000000000028</v>
      </c>
      <c r="D441" s="289">
        <v>225.6</v>
      </c>
    </row>
    <row r="442" spans="2:8" x14ac:dyDescent="0.2">
      <c r="B442" s="474" t="s">
        <v>1319</v>
      </c>
      <c r="C442" s="477">
        <v>34.000000000000028</v>
      </c>
      <c r="D442" s="289">
        <v>16.3</v>
      </c>
      <c r="G442" s="477"/>
      <c r="H442" s="289"/>
    </row>
    <row r="443" spans="2:8" x14ac:dyDescent="0.2">
      <c r="B443" s="474" t="s">
        <v>1415</v>
      </c>
      <c r="C443" s="477">
        <v>34.000000000000028</v>
      </c>
      <c r="D443" s="289">
        <v>488.1</v>
      </c>
    </row>
    <row r="444" spans="2:8" x14ac:dyDescent="0.2">
      <c r="B444" s="1" t="s">
        <v>1324</v>
      </c>
      <c r="C444" s="455">
        <v>34.000000000000028</v>
      </c>
      <c r="D444" s="289">
        <v>107.4</v>
      </c>
    </row>
    <row r="445" spans="2:8" x14ac:dyDescent="0.2">
      <c r="B445" s="474" t="s">
        <v>1325</v>
      </c>
      <c r="C445" s="474">
        <v>35</v>
      </c>
      <c r="D445" s="289">
        <v>188.1</v>
      </c>
    </row>
    <row r="446" spans="2:8" x14ac:dyDescent="0.2">
      <c r="B446" s="1" t="s">
        <v>1321</v>
      </c>
      <c r="C446" s="455">
        <v>34.000000000000028</v>
      </c>
      <c r="D446" s="289">
        <v>42.9</v>
      </c>
    </row>
    <row r="447" spans="2:8" x14ac:dyDescent="0.2">
      <c r="B447" s="474" t="s">
        <v>1323</v>
      </c>
      <c r="C447" s="474">
        <v>34.000000000000028</v>
      </c>
      <c r="D447" s="289">
        <v>71.8</v>
      </c>
    </row>
    <row r="448" spans="2:8" x14ac:dyDescent="0.2">
      <c r="B448" s="1" t="s">
        <v>1322</v>
      </c>
      <c r="C448" s="455">
        <v>34.000000000000028</v>
      </c>
      <c r="D448" s="289">
        <v>50.5</v>
      </c>
    </row>
    <row r="449" spans="2:8" x14ac:dyDescent="0.2">
      <c r="B449" s="474" t="s">
        <v>1470</v>
      </c>
      <c r="C449" s="477">
        <v>39</v>
      </c>
      <c r="D449" s="289">
        <v>2</v>
      </c>
    </row>
    <row r="450" spans="2:8" x14ac:dyDescent="0.2">
      <c r="B450" s="474" t="s">
        <v>1140</v>
      </c>
      <c r="C450" s="477">
        <v>38</v>
      </c>
      <c r="D450" s="289">
        <v>1.7000000000000002</v>
      </c>
      <c r="G450" s="477"/>
      <c r="H450" s="289"/>
    </row>
    <row r="451" spans="2:8" x14ac:dyDescent="0.2">
      <c r="B451" s="474" t="s">
        <v>1141</v>
      </c>
      <c r="C451" s="288">
        <v>38</v>
      </c>
      <c r="D451" s="289">
        <v>1.7000000000000002</v>
      </c>
    </row>
    <row r="452" spans="2:8" x14ac:dyDescent="0.2">
      <c r="B452" s="474" t="s">
        <v>1142</v>
      </c>
      <c r="C452" s="477">
        <v>38</v>
      </c>
      <c r="D452" s="289">
        <v>1.7000000000000002</v>
      </c>
    </row>
    <row r="453" spans="2:8" x14ac:dyDescent="0.2">
      <c r="B453" s="474" t="s">
        <v>1497</v>
      </c>
      <c r="C453" s="477">
        <v>34.000000000000028</v>
      </c>
      <c r="D453" s="289">
        <v>1.5</v>
      </c>
    </row>
    <row r="454" spans="2:8" x14ac:dyDescent="0.2">
      <c r="B454" s="474" t="s">
        <v>1143</v>
      </c>
      <c r="C454" s="474">
        <v>38</v>
      </c>
      <c r="D454" s="289">
        <v>1.7000000000000002</v>
      </c>
    </row>
    <row r="455" spans="2:8" x14ac:dyDescent="0.2">
      <c r="B455" s="474" t="s">
        <v>1144</v>
      </c>
      <c r="C455" s="474">
        <v>38</v>
      </c>
      <c r="D455" s="289">
        <v>2.15</v>
      </c>
    </row>
    <row r="456" spans="2:8" x14ac:dyDescent="0.2">
      <c r="B456" s="474" t="s">
        <v>1145</v>
      </c>
      <c r="C456" s="288">
        <v>38</v>
      </c>
      <c r="D456" s="289">
        <v>2.4500000000000002</v>
      </c>
    </row>
    <row r="457" spans="2:8" x14ac:dyDescent="0.2">
      <c r="B457" s="474" t="s">
        <v>1251</v>
      </c>
      <c r="C457" s="477">
        <v>37</v>
      </c>
      <c r="D457" s="289">
        <v>7.35</v>
      </c>
    </row>
    <row r="458" spans="2:8" x14ac:dyDescent="0.2">
      <c r="B458" s="1" t="s">
        <v>1327</v>
      </c>
      <c r="C458" s="455">
        <v>34.000000000000028</v>
      </c>
      <c r="D458" s="289">
        <v>71.8</v>
      </c>
      <c r="G458" s="477"/>
      <c r="H458" s="289"/>
    </row>
    <row r="459" spans="2:8" x14ac:dyDescent="0.2">
      <c r="B459" s="474" t="s">
        <v>1146</v>
      </c>
      <c r="C459" s="288">
        <v>38</v>
      </c>
      <c r="D459" s="289">
        <v>1.7000000000000002</v>
      </c>
      <c r="G459" s="477"/>
      <c r="H459" s="289"/>
    </row>
    <row r="460" spans="2:8" x14ac:dyDescent="0.2">
      <c r="B460" s="474" t="s">
        <v>1374</v>
      </c>
      <c r="C460" s="477">
        <v>36.000000000000028</v>
      </c>
      <c r="D460" s="289">
        <v>19.3</v>
      </c>
      <c r="G460" s="477"/>
      <c r="H460" s="289"/>
    </row>
    <row r="461" spans="2:8" x14ac:dyDescent="0.2">
      <c r="B461" s="474" t="s">
        <v>1147</v>
      </c>
      <c r="C461" s="474">
        <v>38</v>
      </c>
      <c r="D461" s="289">
        <v>1.7000000000000002</v>
      </c>
      <c r="G461" s="477"/>
      <c r="H461" s="289"/>
    </row>
    <row r="462" spans="2:8" x14ac:dyDescent="0.2">
      <c r="B462" s="474" t="s">
        <v>1252</v>
      </c>
      <c r="C462" s="477">
        <v>37</v>
      </c>
      <c r="D462" s="289">
        <v>1</v>
      </c>
      <c r="G462" s="477"/>
      <c r="H462" s="289"/>
    </row>
    <row r="463" spans="2:8" x14ac:dyDescent="0.2">
      <c r="B463" s="474" t="s">
        <v>1242</v>
      </c>
      <c r="C463" s="474">
        <v>29</v>
      </c>
      <c r="D463" s="289">
        <v>2.0499999999999998</v>
      </c>
      <c r="G463" s="477"/>
      <c r="H463" s="289"/>
    </row>
    <row r="464" spans="2:8" x14ac:dyDescent="0.2">
      <c r="B464" s="474" t="s">
        <v>1205</v>
      </c>
      <c r="C464" s="474">
        <v>35</v>
      </c>
      <c r="D464" s="289">
        <v>8.0500000000000007</v>
      </c>
      <c r="G464" s="288"/>
      <c r="H464" s="289"/>
    </row>
    <row r="465" spans="2:8" x14ac:dyDescent="0.2">
      <c r="B465" s="474" t="s">
        <v>1496</v>
      </c>
      <c r="C465" s="477">
        <v>34.000000000000028</v>
      </c>
      <c r="D465" s="289">
        <v>1.5</v>
      </c>
      <c r="G465" s="477"/>
      <c r="H465" s="289"/>
    </row>
    <row r="466" spans="2:8" x14ac:dyDescent="0.2">
      <c r="B466" s="1" t="s">
        <v>1320</v>
      </c>
      <c r="C466" s="455">
        <v>34.000000000000028</v>
      </c>
      <c r="D466" s="289">
        <v>25.3</v>
      </c>
      <c r="G466" s="477"/>
      <c r="H466" s="289"/>
    </row>
    <row r="467" spans="2:8" x14ac:dyDescent="0.2">
      <c r="B467" s="1" t="s">
        <v>1328</v>
      </c>
      <c r="C467" s="455">
        <v>35</v>
      </c>
      <c r="D467" s="289">
        <v>116.8</v>
      </c>
      <c r="G467" s="477"/>
      <c r="H467" s="289"/>
    </row>
    <row r="468" spans="2:8" x14ac:dyDescent="0.2">
      <c r="B468" s="474" t="s">
        <v>1441</v>
      </c>
      <c r="C468" s="477">
        <v>25</v>
      </c>
      <c r="D468" s="289">
        <v>713.1</v>
      </c>
      <c r="G468" s="477"/>
      <c r="H468" s="289"/>
    </row>
    <row r="469" spans="2:8" x14ac:dyDescent="0.2">
      <c r="B469" s="1" t="s">
        <v>1326</v>
      </c>
      <c r="C469" s="455">
        <v>33</v>
      </c>
      <c r="D469" s="289">
        <v>120.6</v>
      </c>
      <c r="G469" s="477"/>
      <c r="H469" s="289"/>
    </row>
    <row r="470" spans="2:8" x14ac:dyDescent="0.2">
      <c r="B470" s="474" t="s">
        <v>1176</v>
      </c>
      <c r="C470" s="474">
        <v>36.000000000000028</v>
      </c>
      <c r="D470" s="289">
        <v>3.3499999999999996</v>
      </c>
      <c r="G470" s="477"/>
      <c r="H470" s="289"/>
    </row>
    <row r="471" spans="2:8" x14ac:dyDescent="0.2">
      <c r="B471" s="474" t="s">
        <v>1230</v>
      </c>
      <c r="C471" s="477">
        <v>39</v>
      </c>
      <c r="D471" s="289">
        <v>2.0499999999999998</v>
      </c>
      <c r="G471" s="477"/>
      <c r="H471" s="289"/>
    </row>
    <row r="472" spans="2:8" x14ac:dyDescent="0.2">
      <c r="B472" s="474" t="s">
        <v>149</v>
      </c>
      <c r="C472" s="477"/>
      <c r="G472" s="477"/>
      <c r="H472" s="289"/>
    </row>
    <row r="473" spans="2:8" x14ac:dyDescent="0.2">
      <c r="B473" s="474" t="s">
        <v>1542</v>
      </c>
      <c r="C473" s="288">
        <v>37</v>
      </c>
      <c r="D473" s="289">
        <v>4</v>
      </c>
      <c r="G473" s="477"/>
      <c r="H473" s="289"/>
    </row>
    <row r="474" spans="2:8" x14ac:dyDescent="0.2">
      <c r="B474" s="474" t="s">
        <v>1607</v>
      </c>
      <c r="C474" s="477">
        <v>25</v>
      </c>
      <c r="D474" s="289">
        <v>422.5</v>
      </c>
      <c r="G474" s="477"/>
      <c r="H474" s="289"/>
    </row>
    <row r="475" spans="2:8" x14ac:dyDescent="0.2">
      <c r="B475" s="474" t="s">
        <v>1597</v>
      </c>
      <c r="C475" s="477">
        <v>36</v>
      </c>
      <c r="D475" s="289">
        <v>31</v>
      </c>
      <c r="G475" s="477"/>
      <c r="H475" s="289"/>
    </row>
    <row r="476" spans="2:8" x14ac:dyDescent="0.2">
      <c r="B476" s="474" t="s">
        <v>1604</v>
      </c>
      <c r="C476" s="288">
        <v>25</v>
      </c>
      <c r="D476" s="289">
        <v>422.5</v>
      </c>
    </row>
    <row r="477" spans="2:8" x14ac:dyDescent="0.2">
      <c r="B477" s="474" t="s">
        <v>1605</v>
      </c>
      <c r="C477" s="477">
        <v>25</v>
      </c>
      <c r="D477" s="289">
        <v>500</v>
      </c>
      <c r="G477" s="477"/>
      <c r="H477" s="289"/>
    </row>
    <row r="478" spans="2:8" x14ac:dyDescent="0.2">
      <c r="B478" s="474" t="s">
        <v>1606</v>
      </c>
      <c r="C478" s="474">
        <v>25</v>
      </c>
      <c r="D478" s="289">
        <v>422.5</v>
      </c>
      <c r="G478" s="477"/>
      <c r="H478" s="289"/>
    </row>
    <row r="479" spans="2:8" x14ac:dyDescent="0.2">
      <c r="B479" s="474" t="s">
        <v>1600</v>
      </c>
      <c r="C479" s="477">
        <v>34.000000000000028</v>
      </c>
      <c r="D479" s="289">
        <v>337.5</v>
      </c>
    </row>
    <row r="480" spans="2:8" x14ac:dyDescent="0.2">
      <c r="B480" s="474" t="s">
        <v>1601</v>
      </c>
      <c r="C480" s="477">
        <v>34.000000000000028</v>
      </c>
      <c r="D480" s="289">
        <v>337.5</v>
      </c>
    </row>
    <row r="481" spans="2:8" x14ac:dyDescent="0.2">
      <c r="B481" s="474" t="s">
        <v>1603</v>
      </c>
      <c r="C481" s="474">
        <v>34.000000000000028</v>
      </c>
      <c r="D481" s="289">
        <v>245</v>
      </c>
      <c r="G481" s="477"/>
      <c r="H481" s="289"/>
    </row>
    <row r="482" spans="2:8" x14ac:dyDescent="0.2">
      <c r="B482" s="474" t="s">
        <v>1602</v>
      </c>
      <c r="C482" s="474">
        <v>34.000000000000028</v>
      </c>
      <c r="D482" s="289">
        <v>150</v>
      </c>
    </row>
    <row r="483" spans="2:8" x14ac:dyDescent="0.2">
      <c r="B483" s="474" t="s">
        <v>1596</v>
      </c>
      <c r="C483" s="477">
        <v>36</v>
      </c>
      <c r="D483" s="289">
        <v>32.5</v>
      </c>
      <c r="G483" s="477"/>
      <c r="H483" s="289"/>
    </row>
    <row r="484" spans="2:8" x14ac:dyDescent="0.2">
      <c r="B484" s="474" t="s">
        <v>1608</v>
      </c>
      <c r="C484" s="474">
        <v>25</v>
      </c>
      <c r="D484" s="289">
        <v>377.5</v>
      </c>
      <c r="G484" s="477"/>
      <c r="H484" s="289"/>
    </row>
    <row r="485" spans="2:8" x14ac:dyDescent="0.2">
      <c r="B485" s="474" t="s">
        <v>1610</v>
      </c>
      <c r="C485" s="477">
        <v>25</v>
      </c>
      <c r="D485" s="289">
        <v>377.5</v>
      </c>
      <c r="F485" s="1"/>
      <c r="G485" s="455"/>
      <c r="H485" s="456"/>
    </row>
    <row r="486" spans="2:8" x14ac:dyDescent="0.2">
      <c r="B486" s="474" t="s">
        <v>1609</v>
      </c>
      <c r="C486" s="474">
        <v>25</v>
      </c>
      <c r="D486" s="289">
        <v>377.5</v>
      </c>
      <c r="F486" s="1"/>
      <c r="G486" s="455"/>
      <c r="H486" s="456"/>
    </row>
    <row r="487" spans="2:8" x14ac:dyDescent="0.2">
      <c r="B487" s="474" t="s">
        <v>1612</v>
      </c>
      <c r="C487" s="474">
        <v>36.000000000000028</v>
      </c>
      <c r="D487" s="289">
        <v>1</v>
      </c>
      <c r="F487" s="1"/>
      <c r="G487" s="455"/>
      <c r="H487" s="456"/>
    </row>
    <row r="488" spans="2:8" x14ac:dyDescent="0.2">
      <c r="B488" s="474" t="s">
        <v>1613</v>
      </c>
      <c r="C488" s="474">
        <v>36.000000000000028</v>
      </c>
      <c r="D488" s="289">
        <v>1</v>
      </c>
      <c r="G488" s="477"/>
      <c r="H488" s="289"/>
    </row>
    <row r="489" spans="2:8" x14ac:dyDescent="0.2">
      <c r="B489" s="474" t="s">
        <v>1614</v>
      </c>
      <c r="C489" s="474">
        <v>36.000000000000028</v>
      </c>
      <c r="D489" s="289">
        <v>1</v>
      </c>
      <c r="G489" s="477"/>
      <c r="H489" s="289"/>
    </row>
    <row r="490" spans="2:8" x14ac:dyDescent="0.2">
      <c r="B490" s="474" t="s">
        <v>1615</v>
      </c>
      <c r="C490" s="477">
        <v>36.000000000000028</v>
      </c>
      <c r="D490" s="289">
        <v>1</v>
      </c>
      <c r="G490" s="477"/>
      <c r="H490" s="289"/>
    </row>
    <row r="491" spans="2:8" x14ac:dyDescent="0.2">
      <c r="B491" s="1" t="s">
        <v>1583</v>
      </c>
      <c r="C491" s="455">
        <v>34</v>
      </c>
      <c r="D491" s="289">
        <v>26.5</v>
      </c>
      <c r="G491" s="477"/>
      <c r="H491" s="289"/>
    </row>
    <row r="492" spans="2:8" x14ac:dyDescent="0.2">
      <c r="B492" s="474" t="s">
        <v>1595</v>
      </c>
      <c r="C492" s="477">
        <v>36</v>
      </c>
      <c r="D492" s="289">
        <v>150</v>
      </c>
      <c r="G492" s="477"/>
      <c r="H492" s="289"/>
    </row>
    <row r="493" spans="2:8" x14ac:dyDescent="0.2">
      <c r="B493" s="1" t="s">
        <v>1581</v>
      </c>
      <c r="C493" s="455">
        <v>34</v>
      </c>
      <c r="D493" s="289">
        <v>14</v>
      </c>
      <c r="F493" s="476"/>
      <c r="G493" s="288"/>
      <c r="H493" s="289"/>
    </row>
    <row r="494" spans="2:8" x14ac:dyDescent="0.2">
      <c r="B494" s="474" t="s">
        <v>1588</v>
      </c>
      <c r="C494" s="477">
        <v>34</v>
      </c>
      <c r="D494" s="289">
        <v>82.5</v>
      </c>
      <c r="F494" s="1"/>
      <c r="G494" s="455"/>
      <c r="H494" s="456"/>
    </row>
    <row r="495" spans="2:8" x14ac:dyDescent="0.2">
      <c r="B495" s="474" t="s">
        <v>1587</v>
      </c>
      <c r="C495" s="288">
        <v>34</v>
      </c>
      <c r="D495" s="289">
        <v>68</v>
      </c>
    </row>
    <row r="496" spans="2:8" x14ac:dyDescent="0.2">
      <c r="B496" s="474" t="s">
        <v>1589</v>
      </c>
      <c r="C496" s="477">
        <v>34</v>
      </c>
      <c r="D496" s="289">
        <v>112.5</v>
      </c>
    </row>
    <row r="497" spans="2:8" x14ac:dyDescent="0.2">
      <c r="B497" s="474" t="s">
        <v>1589</v>
      </c>
      <c r="C497" s="477">
        <v>36</v>
      </c>
      <c r="D497" s="289">
        <v>112.5</v>
      </c>
      <c r="G497" s="288"/>
      <c r="H497" s="289"/>
    </row>
    <row r="498" spans="2:8" x14ac:dyDescent="0.2">
      <c r="B498" s="474" t="s">
        <v>1585</v>
      </c>
      <c r="C498" s="477">
        <v>34</v>
      </c>
      <c r="D498" s="289">
        <v>45</v>
      </c>
      <c r="G498" s="477"/>
      <c r="H498" s="289"/>
    </row>
    <row r="499" spans="2:8" x14ac:dyDescent="0.2">
      <c r="B499" s="1" t="s">
        <v>1579</v>
      </c>
      <c r="C499" s="455">
        <v>34</v>
      </c>
      <c r="D499" s="289">
        <v>10</v>
      </c>
    </row>
    <row r="500" spans="2:8" x14ac:dyDescent="0.2">
      <c r="B500" s="1" t="s">
        <v>1578</v>
      </c>
      <c r="C500" s="455">
        <v>34</v>
      </c>
      <c r="D500" s="289">
        <v>6</v>
      </c>
      <c r="G500" s="477"/>
      <c r="H500" s="289"/>
    </row>
    <row r="501" spans="2:8" x14ac:dyDescent="0.2">
      <c r="B501" s="474" t="s">
        <v>1586</v>
      </c>
      <c r="C501" s="477">
        <v>34</v>
      </c>
      <c r="D501" s="289">
        <v>55</v>
      </c>
      <c r="G501" s="477"/>
      <c r="H501" s="289"/>
    </row>
    <row r="502" spans="2:8" x14ac:dyDescent="0.2">
      <c r="B502" s="474" t="s">
        <v>1584</v>
      </c>
      <c r="C502" s="477">
        <v>34</v>
      </c>
      <c r="D502" s="289">
        <v>35</v>
      </c>
      <c r="G502" s="477"/>
      <c r="H502" s="289"/>
    </row>
    <row r="503" spans="2:8" x14ac:dyDescent="0.2">
      <c r="B503" s="474" t="s">
        <v>1592</v>
      </c>
      <c r="C503" s="477">
        <v>34</v>
      </c>
      <c r="D503" s="289">
        <v>15.45</v>
      </c>
      <c r="G503" s="477"/>
      <c r="H503" s="289"/>
    </row>
    <row r="504" spans="2:8" x14ac:dyDescent="0.2">
      <c r="B504" s="1" t="s">
        <v>1582</v>
      </c>
      <c r="C504" s="455">
        <v>34</v>
      </c>
      <c r="D504" s="289">
        <v>19</v>
      </c>
      <c r="G504" s="477"/>
      <c r="H504" s="289"/>
    </row>
    <row r="505" spans="2:8" x14ac:dyDescent="0.2">
      <c r="B505" s="474" t="s">
        <v>1594</v>
      </c>
      <c r="C505" s="477">
        <v>34</v>
      </c>
      <c r="D505" s="289">
        <v>15.45</v>
      </c>
      <c r="G505" s="477"/>
      <c r="H505" s="289"/>
    </row>
    <row r="506" spans="2:8" x14ac:dyDescent="0.2">
      <c r="B506" s="474" t="s">
        <v>1593</v>
      </c>
      <c r="C506" s="477">
        <v>34</v>
      </c>
      <c r="D506" s="289">
        <v>15.45</v>
      </c>
    </row>
    <row r="507" spans="2:8" x14ac:dyDescent="0.2">
      <c r="B507" s="474" t="s">
        <v>1591</v>
      </c>
      <c r="C507" s="477">
        <v>34</v>
      </c>
      <c r="D507" s="289">
        <v>66</v>
      </c>
    </row>
    <row r="508" spans="2:8" x14ac:dyDescent="0.2">
      <c r="B508" s="474" t="s">
        <v>1590</v>
      </c>
      <c r="C508" s="477">
        <v>34</v>
      </c>
      <c r="D508" s="289">
        <v>34.5</v>
      </c>
      <c r="G508" s="477"/>
      <c r="H508" s="289"/>
    </row>
    <row r="509" spans="2:8" x14ac:dyDescent="0.2">
      <c r="B509" s="474" t="s">
        <v>1599</v>
      </c>
      <c r="C509" s="474">
        <v>34</v>
      </c>
      <c r="D509" s="289">
        <v>215</v>
      </c>
      <c r="G509" s="477"/>
      <c r="H509" s="289"/>
    </row>
    <row r="510" spans="2:8" x14ac:dyDescent="0.2">
      <c r="B510" s="474" t="s">
        <v>1577</v>
      </c>
      <c r="C510" s="477">
        <v>37</v>
      </c>
      <c r="D510" s="289">
        <v>1.45</v>
      </c>
      <c r="G510" s="477"/>
      <c r="H510" s="289"/>
    </row>
    <row r="511" spans="2:8" x14ac:dyDescent="0.2">
      <c r="B511" s="1" t="s">
        <v>1580</v>
      </c>
      <c r="C511" s="455">
        <v>34</v>
      </c>
      <c r="D511" s="289">
        <v>10</v>
      </c>
      <c r="G511" s="477"/>
      <c r="H511" s="289"/>
    </row>
    <row r="512" spans="2:8" x14ac:dyDescent="0.2">
      <c r="B512" s="474" t="s">
        <v>1611</v>
      </c>
      <c r="C512" s="477">
        <v>27</v>
      </c>
      <c r="D512" s="289">
        <v>5.8</v>
      </c>
      <c r="G512" s="477"/>
      <c r="H512" s="289"/>
    </row>
    <row r="513" spans="2:8" x14ac:dyDescent="0.2">
      <c r="B513" s="474" t="s">
        <v>1616</v>
      </c>
      <c r="C513" s="477">
        <v>34</v>
      </c>
      <c r="D513" s="289">
        <v>2.8</v>
      </c>
      <c r="G513" s="477"/>
      <c r="H513" s="289"/>
    </row>
    <row r="514" spans="2:8" x14ac:dyDescent="0.2">
      <c r="B514" s="476" t="s">
        <v>1565</v>
      </c>
      <c r="C514" s="288">
        <v>38</v>
      </c>
      <c r="D514" s="289">
        <v>3.5</v>
      </c>
      <c r="F514" s="1"/>
      <c r="G514" s="455"/>
      <c r="H514" s="456"/>
    </row>
    <row r="515" spans="2:8" x14ac:dyDescent="0.2">
      <c r="B515" s="474" t="s">
        <v>1598</v>
      </c>
      <c r="C515" s="477">
        <v>35</v>
      </c>
      <c r="D515" s="289">
        <v>19</v>
      </c>
      <c r="G515" s="477"/>
      <c r="H515" s="289"/>
    </row>
    <row r="516" spans="2:8" x14ac:dyDescent="0.2">
      <c r="B516" s="474" t="s">
        <v>1567</v>
      </c>
      <c r="C516" s="477">
        <v>38</v>
      </c>
      <c r="D516" s="289">
        <v>3.5</v>
      </c>
    </row>
    <row r="517" spans="2:8" x14ac:dyDescent="0.2">
      <c r="B517" s="474" t="s">
        <v>1566</v>
      </c>
      <c r="C517" s="477">
        <v>38</v>
      </c>
      <c r="D517" s="289">
        <v>1.9</v>
      </c>
      <c r="G517" s="477"/>
      <c r="H517" s="289"/>
    </row>
    <row r="518" spans="2:8" x14ac:dyDescent="0.2">
      <c r="B518" s="1" t="s">
        <v>1571</v>
      </c>
      <c r="C518" s="455">
        <v>35</v>
      </c>
      <c r="D518" s="289">
        <v>26.5</v>
      </c>
      <c r="G518" s="477"/>
      <c r="H518" s="289"/>
    </row>
    <row r="519" spans="2:8" x14ac:dyDescent="0.2">
      <c r="B519" s="1" t="s">
        <v>1570</v>
      </c>
      <c r="C519" s="455">
        <v>35</v>
      </c>
      <c r="D519" s="289">
        <v>8</v>
      </c>
    </row>
    <row r="520" spans="2:8" x14ac:dyDescent="0.2">
      <c r="B520" s="1" t="s">
        <v>1569</v>
      </c>
      <c r="C520" s="455">
        <v>35</v>
      </c>
      <c r="D520" s="289">
        <v>5.5</v>
      </c>
    </row>
    <row r="521" spans="2:8" x14ac:dyDescent="0.2">
      <c r="B521" s="474" t="s">
        <v>1575</v>
      </c>
      <c r="C521" s="477">
        <v>37</v>
      </c>
      <c r="D521" s="289">
        <v>1.95</v>
      </c>
    </row>
    <row r="522" spans="2:8" x14ac:dyDescent="0.2">
      <c r="B522" s="474" t="s">
        <v>1564</v>
      </c>
      <c r="C522" s="477">
        <v>38</v>
      </c>
      <c r="D522" s="289">
        <v>1.95</v>
      </c>
    </row>
    <row r="523" spans="2:8" x14ac:dyDescent="0.2">
      <c r="B523" s="474" t="s">
        <v>1574</v>
      </c>
      <c r="C523" s="474">
        <v>29</v>
      </c>
      <c r="D523" s="289">
        <v>2.1</v>
      </c>
      <c r="G523" s="477"/>
      <c r="H523" s="289"/>
    </row>
    <row r="524" spans="2:8" x14ac:dyDescent="0.2">
      <c r="B524" s="474" t="s">
        <v>1576</v>
      </c>
      <c r="C524" s="477">
        <v>37</v>
      </c>
      <c r="D524" s="289">
        <v>3.15</v>
      </c>
      <c r="G524" s="477"/>
      <c r="H524" s="289"/>
    </row>
    <row r="525" spans="2:8" x14ac:dyDescent="0.2">
      <c r="B525" s="474" t="s">
        <v>1568</v>
      </c>
      <c r="C525" s="474">
        <v>36</v>
      </c>
      <c r="D525" s="289">
        <v>4.5</v>
      </c>
    </row>
    <row r="526" spans="2:8" x14ac:dyDescent="0.2">
      <c r="B526" s="1" t="s">
        <v>1572</v>
      </c>
      <c r="C526" s="455">
        <v>39</v>
      </c>
      <c r="D526" s="289">
        <v>2</v>
      </c>
      <c r="G526" s="477"/>
      <c r="H526" s="289"/>
    </row>
    <row r="527" spans="2:8" x14ac:dyDescent="0.2">
      <c r="B527" s="474" t="s">
        <v>1573</v>
      </c>
      <c r="C527" s="477">
        <v>39</v>
      </c>
      <c r="D527" s="289">
        <v>6.2</v>
      </c>
      <c r="G527" s="477"/>
      <c r="H527" s="289"/>
    </row>
    <row r="528" spans="2:8" x14ac:dyDescent="0.2">
      <c r="B528" s="474" t="s">
        <v>1389</v>
      </c>
      <c r="C528" s="474">
        <v>35</v>
      </c>
      <c r="D528" s="289">
        <v>43</v>
      </c>
      <c r="G528" s="477"/>
      <c r="H528" s="289"/>
    </row>
    <row r="529" spans="2:8" x14ac:dyDescent="0.2">
      <c r="B529" s="474" t="s">
        <v>1431</v>
      </c>
      <c r="C529" s="477">
        <v>25</v>
      </c>
      <c r="D529" s="289">
        <v>545</v>
      </c>
    </row>
    <row r="530" spans="2:8" x14ac:dyDescent="0.2">
      <c r="B530" s="474" t="s">
        <v>1395</v>
      </c>
      <c r="C530" s="474">
        <v>32.000000000000028</v>
      </c>
      <c r="D530" s="289">
        <v>71</v>
      </c>
    </row>
    <row r="531" spans="2:8" x14ac:dyDescent="0.2">
      <c r="B531" s="474" t="s">
        <v>1329</v>
      </c>
      <c r="C531" s="477">
        <v>34.000000000000028</v>
      </c>
      <c r="D531" s="289">
        <v>11</v>
      </c>
    </row>
    <row r="532" spans="2:8" x14ac:dyDescent="0.2">
      <c r="B532" s="474" t="s">
        <v>1417</v>
      </c>
      <c r="C532" s="474">
        <v>34.000000000000028</v>
      </c>
      <c r="D532" s="289">
        <v>420</v>
      </c>
      <c r="G532" s="477"/>
      <c r="H532" s="289"/>
    </row>
    <row r="533" spans="2:8" x14ac:dyDescent="0.2">
      <c r="B533" s="474" t="s">
        <v>1331</v>
      </c>
      <c r="C533" s="477">
        <v>34.000000000000028</v>
      </c>
      <c r="D533" s="289">
        <v>45</v>
      </c>
      <c r="G533" s="477"/>
      <c r="H533" s="289"/>
    </row>
    <row r="534" spans="2:8" x14ac:dyDescent="0.2">
      <c r="B534" s="474" t="s">
        <v>1332</v>
      </c>
      <c r="C534" s="474">
        <v>34.000000000000028</v>
      </c>
      <c r="D534" s="289">
        <v>65</v>
      </c>
      <c r="G534" s="477"/>
      <c r="H534" s="289"/>
    </row>
    <row r="535" spans="2:8" x14ac:dyDescent="0.2">
      <c r="B535" s="474" t="s">
        <v>1336</v>
      </c>
      <c r="C535" s="477">
        <v>35</v>
      </c>
      <c r="D535" s="289">
        <v>70</v>
      </c>
      <c r="G535" s="477"/>
      <c r="H535" s="289"/>
    </row>
    <row r="536" spans="2:8" x14ac:dyDescent="0.2">
      <c r="B536" s="474" t="s">
        <v>1335</v>
      </c>
      <c r="C536" s="477">
        <v>35</v>
      </c>
      <c r="D536" s="289">
        <v>60</v>
      </c>
      <c r="F536" s="1"/>
      <c r="G536" s="455"/>
      <c r="H536" s="456"/>
    </row>
    <row r="537" spans="2:8" x14ac:dyDescent="0.2">
      <c r="B537" s="474" t="s">
        <v>1333</v>
      </c>
      <c r="C537" s="474">
        <v>34.000000000000028</v>
      </c>
      <c r="D537" s="289">
        <v>85</v>
      </c>
      <c r="G537" s="477"/>
      <c r="H537" s="289"/>
    </row>
    <row r="538" spans="2:8" x14ac:dyDescent="0.2">
      <c r="B538" s="474" t="s">
        <v>1334</v>
      </c>
      <c r="C538" s="474">
        <v>33</v>
      </c>
      <c r="D538" s="289">
        <v>120</v>
      </c>
      <c r="G538" s="477"/>
      <c r="H538" s="289"/>
    </row>
    <row r="539" spans="2:8" x14ac:dyDescent="0.2">
      <c r="B539" s="474" t="s">
        <v>1478</v>
      </c>
      <c r="C539" s="477">
        <v>32.000000000000028</v>
      </c>
      <c r="D539" s="289">
        <v>2.25</v>
      </c>
      <c r="F539" s="1"/>
      <c r="G539" s="455"/>
      <c r="H539" s="456"/>
    </row>
    <row r="540" spans="2:8" x14ac:dyDescent="0.2">
      <c r="B540" s="474" t="s">
        <v>1479</v>
      </c>
      <c r="C540" s="474">
        <v>36.999999999999922</v>
      </c>
      <c r="D540" s="289">
        <v>2.25</v>
      </c>
      <c r="G540" s="477"/>
      <c r="H540" s="289"/>
    </row>
    <row r="541" spans="2:8" x14ac:dyDescent="0.2">
      <c r="B541" s="474" t="s">
        <v>1148</v>
      </c>
      <c r="C541" s="477">
        <v>38</v>
      </c>
      <c r="D541" s="289">
        <v>2.65</v>
      </c>
      <c r="G541" s="477"/>
      <c r="H541" s="289"/>
    </row>
    <row r="542" spans="2:8" x14ac:dyDescent="0.2">
      <c r="B542" s="474" t="s">
        <v>1149</v>
      </c>
      <c r="C542" s="477">
        <v>38</v>
      </c>
      <c r="D542" s="289">
        <v>2.65</v>
      </c>
    </row>
    <row r="543" spans="2:8" x14ac:dyDescent="0.2">
      <c r="B543" s="474" t="s">
        <v>1150</v>
      </c>
      <c r="C543" s="477">
        <v>38</v>
      </c>
      <c r="D543" s="289">
        <v>1.8</v>
      </c>
    </row>
    <row r="544" spans="2:8" x14ac:dyDescent="0.2">
      <c r="B544" s="474" t="s">
        <v>1151</v>
      </c>
      <c r="C544" s="474">
        <v>38</v>
      </c>
      <c r="D544" s="289">
        <v>1.8</v>
      </c>
      <c r="G544" s="477"/>
      <c r="H544" s="289"/>
    </row>
    <row r="545" spans="2:8" x14ac:dyDescent="0.2">
      <c r="B545" s="474" t="s">
        <v>1152</v>
      </c>
      <c r="C545" s="474">
        <v>38</v>
      </c>
      <c r="D545" s="289">
        <v>2.65</v>
      </c>
    </row>
    <row r="546" spans="2:8" x14ac:dyDescent="0.2">
      <c r="B546" s="474" t="s">
        <v>1153</v>
      </c>
      <c r="C546" s="474">
        <v>37</v>
      </c>
      <c r="D546" s="289">
        <v>3.75</v>
      </c>
      <c r="G546" s="477"/>
      <c r="H546" s="289"/>
    </row>
    <row r="547" spans="2:8" x14ac:dyDescent="0.2">
      <c r="B547" s="474" t="s">
        <v>1206</v>
      </c>
      <c r="C547" s="477">
        <v>35</v>
      </c>
      <c r="D547" s="289">
        <v>10.5</v>
      </c>
      <c r="F547" s="1"/>
      <c r="G547" s="455"/>
      <c r="H547" s="456"/>
    </row>
    <row r="548" spans="2:8" x14ac:dyDescent="0.2">
      <c r="B548" s="474" t="s">
        <v>1253</v>
      </c>
      <c r="C548" s="477">
        <v>37</v>
      </c>
      <c r="D548" s="289">
        <v>2.25</v>
      </c>
      <c r="F548" s="1"/>
      <c r="G548" s="455"/>
      <c r="H548" s="456"/>
    </row>
    <row r="549" spans="2:8" x14ac:dyDescent="0.2">
      <c r="B549" s="474" t="s">
        <v>1416</v>
      </c>
      <c r="C549" s="477">
        <v>34.000000000000028</v>
      </c>
      <c r="D549" s="289">
        <v>230</v>
      </c>
      <c r="G549" s="477"/>
      <c r="H549" s="289"/>
    </row>
    <row r="550" spans="2:8" x14ac:dyDescent="0.2">
      <c r="B550" s="474" t="s">
        <v>1330</v>
      </c>
      <c r="C550" s="477">
        <v>35</v>
      </c>
      <c r="D550" s="289">
        <v>25</v>
      </c>
      <c r="G550" s="477"/>
      <c r="H550" s="289"/>
    </row>
    <row r="551" spans="2:8" x14ac:dyDescent="0.2">
      <c r="B551" s="474" t="s">
        <v>1154</v>
      </c>
      <c r="C551" s="288">
        <v>38</v>
      </c>
      <c r="D551" s="289">
        <v>2.65</v>
      </c>
    </row>
    <row r="552" spans="2:8" x14ac:dyDescent="0.2">
      <c r="B552" s="474" t="s">
        <v>1498</v>
      </c>
      <c r="C552" s="477">
        <v>34.000000000000028</v>
      </c>
      <c r="D552" s="289">
        <v>2.5</v>
      </c>
      <c r="G552" s="477"/>
      <c r="H552" s="289"/>
    </row>
    <row r="553" spans="2:8" x14ac:dyDescent="0.2">
      <c r="B553" s="474" t="s">
        <v>1442</v>
      </c>
      <c r="C553" s="477">
        <v>25</v>
      </c>
      <c r="D553" s="289">
        <v>545</v>
      </c>
      <c r="G553" s="477"/>
      <c r="H553" s="289"/>
    </row>
    <row r="554" spans="2:8" x14ac:dyDescent="0.2">
      <c r="B554" s="1" t="s">
        <v>1460</v>
      </c>
      <c r="C554" s="455">
        <v>25</v>
      </c>
      <c r="D554" s="289">
        <v>190</v>
      </c>
      <c r="G554" s="477"/>
      <c r="H554" s="289"/>
    </row>
    <row r="555" spans="2:8" x14ac:dyDescent="0.2">
      <c r="B555" s="474" t="s">
        <v>1457</v>
      </c>
      <c r="C555" s="477">
        <v>25</v>
      </c>
      <c r="D555" s="289">
        <v>325</v>
      </c>
      <c r="G555" s="477"/>
      <c r="H555" s="289"/>
    </row>
    <row r="556" spans="2:8" x14ac:dyDescent="0.2">
      <c r="B556" s="474" t="s">
        <v>1243</v>
      </c>
      <c r="C556" s="474">
        <v>29</v>
      </c>
      <c r="D556" s="289">
        <v>3.05</v>
      </c>
    </row>
    <row r="557" spans="2:8" x14ac:dyDescent="0.2">
      <c r="B557" s="474" t="s">
        <v>1155</v>
      </c>
      <c r="C557" s="477">
        <v>38</v>
      </c>
      <c r="D557" s="289">
        <v>2.65</v>
      </c>
      <c r="G557" s="477"/>
      <c r="H557" s="289"/>
    </row>
    <row r="558" spans="2:8" x14ac:dyDescent="0.2">
      <c r="B558" s="474" t="s">
        <v>1489</v>
      </c>
      <c r="C558" s="477">
        <v>36.000000000000028</v>
      </c>
      <c r="D558" s="289">
        <v>2.25</v>
      </c>
      <c r="G558" s="477"/>
      <c r="H558" s="289"/>
    </row>
    <row r="559" spans="2:8" x14ac:dyDescent="0.2">
      <c r="B559" s="474" t="s">
        <v>1177</v>
      </c>
      <c r="C559" s="477">
        <v>36.000000000000028</v>
      </c>
      <c r="D559" s="289">
        <v>5.5</v>
      </c>
      <c r="G559" s="477"/>
      <c r="H559" s="289"/>
    </row>
    <row r="560" spans="2:8" x14ac:dyDescent="0.2">
      <c r="B560" s="474" t="s">
        <v>1231</v>
      </c>
      <c r="C560" s="477">
        <v>39</v>
      </c>
      <c r="D560" s="289">
        <v>1.8</v>
      </c>
      <c r="G560" s="477"/>
      <c r="H560" s="289"/>
    </row>
    <row r="561" spans="2:8" x14ac:dyDescent="0.2">
      <c r="B561" s="474" t="s">
        <v>1156</v>
      </c>
      <c r="C561" s="288">
        <v>38</v>
      </c>
      <c r="D561" s="289">
        <v>2.65</v>
      </c>
    </row>
    <row r="562" spans="2:8" x14ac:dyDescent="0.2">
      <c r="B562" s="474" t="s">
        <v>134</v>
      </c>
      <c r="C562" s="477"/>
      <c r="G562" s="477"/>
      <c r="H562" s="289"/>
    </row>
    <row r="563" spans="2:8" x14ac:dyDescent="0.2">
      <c r="B563" s="474" t="s">
        <v>1543</v>
      </c>
      <c r="C563" s="288">
        <v>36.000000000000028</v>
      </c>
      <c r="D563" s="289">
        <v>100</v>
      </c>
      <c r="G563" s="477"/>
      <c r="H563" s="289"/>
    </row>
    <row r="564" spans="2:8" x14ac:dyDescent="0.2">
      <c r="B564" s="474" t="s">
        <v>1544</v>
      </c>
      <c r="C564" s="288">
        <v>44.000000000000043</v>
      </c>
      <c r="D564" s="289">
        <v>10</v>
      </c>
    </row>
    <row r="565" spans="2:8" x14ac:dyDescent="0.2">
      <c r="B565" s="474" t="s">
        <v>107</v>
      </c>
      <c r="C565" s="474"/>
      <c r="G565" s="477"/>
      <c r="H565" s="289"/>
    </row>
    <row r="566" spans="2:8" x14ac:dyDescent="0.2">
      <c r="B566" s="474" t="s">
        <v>1433</v>
      </c>
      <c r="C566" s="477">
        <v>25</v>
      </c>
      <c r="D566" s="289">
        <v>525.59</v>
      </c>
      <c r="G566" s="477"/>
      <c r="H566" s="289"/>
    </row>
    <row r="567" spans="2:8" x14ac:dyDescent="0.2">
      <c r="B567" s="474" t="s">
        <v>1337</v>
      </c>
      <c r="C567" s="477">
        <v>35</v>
      </c>
      <c r="D567" s="289">
        <v>3.56</v>
      </c>
      <c r="G567" s="477"/>
      <c r="H567" s="289"/>
    </row>
    <row r="568" spans="2:8" x14ac:dyDescent="0.2">
      <c r="B568" s="474" t="s">
        <v>1344</v>
      </c>
      <c r="C568" s="477">
        <v>35</v>
      </c>
      <c r="D568" s="289">
        <v>38.06</v>
      </c>
      <c r="G568" s="477"/>
      <c r="H568" s="289"/>
    </row>
    <row r="569" spans="2:8" x14ac:dyDescent="0.2">
      <c r="B569" s="474" t="s">
        <v>1345</v>
      </c>
      <c r="C569" s="477">
        <v>35</v>
      </c>
      <c r="D569" s="289">
        <v>56.81</v>
      </c>
      <c r="G569" s="477"/>
      <c r="H569" s="289"/>
    </row>
    <row r="570" spans="2:8" x14ac:dyDescent="0.2">
      <c r="B570" s="474" t="s">
        <v>1346</v>
      </c>
      <c r="C570" s="477">
        <v>35</v>
      </c>
      <c r="D570" s="289">
        <v>75.56</v>
      </c>
    </row>
    <row r="571" spans="2:8" x14ac:dyDescent="0.2">
      <c r="B571" s="474" t="s">
        <v>1342</v>
      </c>
      <c r="C571" s="477">
        <v>35</v>
      </c>
      <c r="D571" s="289">
        <v>11.81</v>
      </c>
    </row>
    <row r="572" spans="2:8" x14ac:dyDescent="0.2">
      <c r="B572" s="474" t="s">
        <v>1347</v>
      </c>
      <c r="C572" s="477">
        <v>35</v>
      </c>
      <c r="D572" s="289">
        <v>113.07</v>
      </c>
    </row>
    <row r="573" spans="2:8" x14ac:dyDescent="0.2">
      <c r="B573" s="474" t="s">
        <v>1348</v>
      </c>
      <c r="C573" s="477">
        <v>35</v>
      </c>
      <c r="D573" s="289">
        <v>150.57</v>
      </c>
    </row>
    <row r="574" spans="2:8" x14ac:dyDescent="0.2">
      <c r="B574" s="474" t="s">
        <v>1343</v>
      </c>
      <c r="C574" s="477">
        <v>35</v>
      </c>
      <c r="D574" s="289">
        <v>19.309999999999999</v>
      </c>
    </row>
    <row r="575" spans="2:8" x14ac:dyDescent="0.2">
      <c r="B575" s="474" t="s">
        <v>1349</v>
      </c>
      <c r="C575" s="477">
        <v>35</v>
      </c>
      <c r="D575" s="289">
        <v>225.57</v>
      </c>
    </row>
    <row r="576" spans="2:8" x14ac:dyDescent="0.2">
      <c r="B576" s="474" t="s">
        <v>1338</v>
      </c>
      <c r="C576" s="477">
        <v>35</v>
      </c>
      <c r="D576" s="289">
        <v>3.56</v>
      </c>
    </row>
    <row r="577" spans="2:8" x14ac:dyDescent="0.2">
      <c r="B577" s="474" t="s">
        <v>1419</v>
      </c>
      <c r="C577" s="477">
        <v>34.000000000000028</v>
      </c>
      <c r="D577" s="289">
        <v>338.08</v>
      </c>
      <c r="G577" s="477"/>
      <c r="H577" s="289"/>
    </row>
    <row r="578" spans="2:8" x14ac:dyDescent="0.2">
      <c r="B578" s="474" t="s">
        <v>1418</v>
      </c>
      <c r="C578" s="477">
        <v>34.000000000000028</v>
      </c>
      <c r="D578" s="289">
        <v>150.57</v>
      </c>
      <c r="G578" s="477"/>
      <c r="H578" s="289"/>
    </row>
    <row r="579" spans="2:8" x14ac:dyDescent="0.2">
      <c r="B579" s="474" t="s">
        <v>1375</v>
      </c>
      <c r="C579" s="477">
        <v>36</v>
      </c>
      <c r="D579" s="289">
        <v>19.309999999999999</v>
      </c>
      <c r="G579" s="477"/>
      <c r="H579" s="289"/>
    </row>
    <row r="580" spans="2:8" x14ac:dyDescent="0.2">
      <c r="B580" s="474" t="s">
        <v>1471</v>
      </c>
      <c r="C580" s="474">
        <v>43</v>
      </c>
      <c r="D580" s="289">
        <v>4.6900000000000004</v>
      </c>
      <c r="G580" s="477"/>
      <c r="H580" s="289"/>
    </row>
    <row r="581" spans="2:8" x14ac:dyDescent="0.2">
      <c r="B581" s="474" t="s">
        <v>1339</v>
      </c>
      <c r="C581" s="474">
        <v>35</v>
      </c>
      <c r="D581" s="289">
        <v>4.87</v>
      </c>
      <c r="G581" s="477"/>
      <c r="H581" s="289"/>
    </row>
    <row r="582" spans="2:8" x14ac:dyDescent="0.2">
      <c r="B582" s="474" t="s">
        <v>1208</v>
      </c>
      <c r="C582" s="477">
        <v>35</v>
      </c>
      <c r="D582" s="289">
        <v>8.81</v>
      </c>
      <c r="G582" s="477"/>
      <c r="H582" s="289"/>
    </row>
    <row r="583" spans="2:8" x14ac:dyDescent="0.2">
      <c r="B583" s="474" t="s">
        <v>1207</v>
      </c>
      <c r="C583" s="477">
        <v>35</v>
      </c>
      <c r="D583" s="289">
        <v>6.56</v>
      </c>
      <c r="G583" s="477"/>
      <c r="H583" s="289"/>
    </row>
    <row r="584" spans="2:8" x14ac:dyDescent="0.2">
      <c r="B584" s="474" t="s">
        <v>1254</v>
      </c>
      <c r="C584" s="474">
        <v>37</v>
      </c>
      <c r="D584" s="289">
        <v>2.44</v>
      </c>
    </row>
    <row r="585" spans="2:8" x14ac:dyDescent="0.2">
      <c r="B585" s="474" t="s">
        <v>1158</v>
      </c>
      <c r="C585" s="288">
        <v>38</v>
      </c>
      <c r="D585" s="289">
        <v>2.62</v>
      </c>
    </row>
    <row r="586" spans="2:8" x14ac:dyDescent="0.2">
      <c r="B586" s="474" t="s">
        <v>1432</v>
      </c>
      <c r="C586" s="477">
        <v>25</v>
      </c>
      <c r="D586" s="289">
        <v>338.08</v>
      </c>
    </row>
    <row r="587" spans="2:8" x14ac:dyDescent="0.2">
      <c r="B587" s="476" t="s">
        <v>1159</v>
      </c>
      <c r="C587" s="477">
        <v>38</v>
      </c>
      <c r="D587" s="289">
        <v>1.91</v>
      </c>
      <c r="G587" s="477"/>
      <c r="H587" s="289"/>
    </row>
    <row r="588" spans="2:8" x14ac:dyDescent="0.2">
      <c r="B588" s="474" t="s">
        <v>1157</v>
      </c>
      <c r="C588" s="288">
        <v>38</v>
      </c>
      <c r="D588" s="289">
        <v>1.93</v>
      </c>
      <c r="G588" s="477"/>
      <c r="H588" s="289"/>
    </row>
    <row r="589" spans="2:8" x14ac:dyDescent="0.2">
      <c r="B589" s="474" t="s">
        <v>1340</v>
      </c>
      <c r="C589" s="477">
        <v>35</v>
      </c>
      <c r="D589" s="289">
        <v>13.69</v>
      </c>
      <c r="G589" s="477"/>
      <c r="H589" s="289"/>
    </row>
    <row r="590" spans="2:8" x14ac:dyDescent="0.2">
      <c r="B590" s="474" t="s">
        <v>1341</v>
      </c>
      <c r="C590" s="477">
        <v>35</v>
      </c>
      <c r="D590" s="289">
        <v>26.81</v>
      </c>
      <c r="G590" s="477"/>
      <c r="H590" s="289"/>
    </row>
    <row r="591" spans="2:8" x14ac:dyDescent="0.2">
      <c r="B591" s="1" t="s">
        <v>1443</v>
      </c>
      <c r="C591" s="455">
        <v>25</v>
      </c>
      <c r="D591" s="289">
        <v>394.33</v>
      </c>
      <c r="G591" s="477"/>
      <c r="H591" s="289"/>
    </row>
    <row r="592" spans="2:8" x14ac:dyDescent="0.2">
      <c r="B592" s="474" t="s">
        <v>1244</v>
      </c>
      <c r="C592" s="474">
        <v>29</v>
      </c>
      <c r="D592" s="289">
        <v>3.19</v>
      </c>
      <c r="G592" s="477"/>
      <c r="H592" s="289"/>
    </row>
    <row r="593" spans="2:8" x14ac:dyDescent="0.2">
      <c r="B593" s="474" t="s">
        <v>1178</v>
      </c>
      <c r="C593" s="474">
        <v>36</v>
      </c>
      <c r="D593" s="289">
        <v>3.75</v>
      </c>
      <c r="G593" s="477"/>
      <c r="H593" s="289"/>
    </row>
    <row r="594" spans="2:8" x14ac:dyDescent="0.2">
      <c r="B594" s="474" t="s">
        <v>1232</v>
      </c>
      <c r="C594" s="477">
        <v>39</v>
      </c>
      <c r="D594" s="289">
        <v>2.15</v>
      </c>
      <c r="G594" s="477"/>
      <c r="H594" s="289"/>
    </row>
    <row r="595" spans="2:8" x14ac:dyDescent="0.2">
      <c r="B595" s="1" t="s">
        <v>1361</v>
      </c>
      <c r="C595" s="455">
        <v>34.000000000000028</v>
      </c>
      <c r="D595" s="289">
        <v>17.5</v>
      </c>
      <c r="F595" s="1"/>
      <c r="G595" s="455"/>
      <c r="H595" s="456"/>
    </row>
    <row r="596" spans="2:8" x14ac:dyDescent="0.2">
      <c r="B596" s="474" t="s">
        <v>1475</v>
      </c>
      <c r="C596" s="477">
        <v>26.999999999999915</v>
      </c>
      <c r="D596" s="289">
        <v>2.25</v>
      </c>
      <c r="F596" s="1"/>
      <c r="G596" s="455"/>
      <c r="H596" s="456"/>
    </row>
    <row r="597" spans="2:8" x14ac:dyDescent="0.2">
      <c r="B597" s="474" t="s">
        <v>1179</v>
      </c>
      <c r="C597" s="288">
        <v>36.000000000000028</v>
      </c>
      <c r="D597" s="289">
        <v>3.3499999999999996</v>
      </c>
    </row>
    <row r="598" spans="2:8" x14ac:dyDescent="0.2">
      <c r="B598" s="1" t="s">
        <v>1160</v>
      </c>
      <c r="C598" s="455">
        <v>37</v>
      </c>
      <c r="D598" s="289">
        <v>1.85</v>
      </c>
      <c r="F598" s="476"/>
      <c r="G598" s="477"/>
      <c r="H598" s="289"/>
    </row>
    <row r="599" spans="2:8" x14ac:dyDescent="0.2">
      <c r="B599" s="474" t="s">
        <v>1494</v>
      </c>
      <c r="C599" s="474">
        <v>36.999999999999922</v>
      </c>
      <c r="D599" s="289">
        <v>2.85</v>
      </c>
      <c r="G599" s="477"/>
      <c r="H599" s="289"/>
    </row>
    <row r="600" spans="2:8" x14ac:dyDescent="0.2">
      <c r="B600" s="474" t="s">
        <v>1161</v>
      </c>
      <c r="C600" s="477">
        <v>37</v>
      </c>
      <c r="D600" s="289">
        <v>2.0499999999999998</v>
      </c>
      <c r="F600" s="1"/>
      <c r="G600" s="455"/>
      <c r="H600" s="456"/>
    </row>
    <row r="601" spans="2:8" x14ac:dyDescent="0.2">
      <c r="B601" s="474" t="s">
        <v>1353</v>
      </c>
      <c r="C601" s="474">
        <v>35</v>
      </c>
      <c r="D601" s="289">
        <v>27</v>
      </c>
    </row>
    <row r="602" spans="2:8" x14ac:dyDescent="0.2">
      <c r="B602" s="474" t="s">
        <v>1360</v>
      </c>
      <c r="C602" s="477">
        <v>35</v>
      </c>
      <c r="D602" s="289">
        <v>150.5</v>
      </c>
    </row>
    <row r="603" spans="2:8" x14ac:dyDescent="0.2">
      <c r="B603" s="474" t="s">
        <v>1351</v>
      </c>
      <c r="C603" s="477">
        <v>33</v>
      </c>
      <c r="D603" s="289">
        <v>12.75</v>
      </c>
    </row>
    <row r="604" spans="2:8" x14ac:dyDescent="0.2">
      <c r="B604" s="474" t="s">
        <v>1359</v>
      </c>
      <c r="C604" s="477">
        <v>34.000000000000028</v>
      </c>
      <c r="D604" s="289">
        <v>73.5</v>
      </c>
      <c r="G604" s="477"/>
      <c r="H604" s="289"/>
    </row>
    <row r="605" spans="2:8" x14ac:dyDescent="0.2">
      <c r="B605" s="474" t="s">
        <v>1448</v>
      </c>
      <c r="C605" s="474">
        <v>32.000000000000028</v>
      </c>
      <c r="D605" s="289">
        <v>337.5</v>
      </c>
      <c r="G605" s="477"/>
      <c r="H605" s="289"/>
    </row>
    <row r="606" spans="2:8" x14ac:dyDescent="0.2">
      <c r="B606" s="474" t="s">
        <v>1449</v>
      </c>
      <c r="C606" s="474">
        <v>32.000000000000028</v>
      </c>
      <c r="D606" s="289">
        <v>431.5</v>
      </c>
      <c r="G606" s="477"/>
      <c r="H606" s="289"/>
    </row>
    <row r="607" spans="2:8" x14ac:dyDescent="0.2">
      <c r="B607" s="474" t="s">
        <v>1450</v>
      </c>
      <c r="C607" s="474">
        <v>32.000000000000028</v>
      </c>
      <c r="D607" s="289">
        <v>525.5</v>
      </c>
      <c r="G607" s="477"/>
      <c r="H607" s="289"/>
    </row>
    <row r="608" spans="2:8" x14ac:dyDescent="0.2">
      <c r="B608" s="474" t="s">
        <v>1445</v>
      </c>
      <c r="C608" s="474">
        <v>32.000000000000028</v>
      </c>
      <c r="D608" s="289">
        <v>337.5</v>
      </c>
      <c r="F608" s="1"/>
      <c r="G608" s="455"/>
      <c r="H608" s="456"/>
    </row>
    <row r="609" spans="2:8" x14ac:dyDescent="0.2">
      <c r="B609" s="474" t="s">
        <v>1446</v>
      </c>
      <c r="C609" s="477">
        <v>32.000000000000028</v>
      </c>
      <c r="D609" s="289">
        <v>431.5</v>
      </c>
      <c r="G609" s="477"/>
      <c r="H609" s="289"/>
    </row>
    <row r="610" spans="2:8" x14ac:dyDescent="0.2">
      <c r="B610" s="474" t="s">
        <v>1447</v>
      </c>
      <c r="C610" s="477">
        <v>32.000000000000028</v>
      </c>
      <c r="D610" s="289">
        <v>525.5</v>
      </c>
    </row>
    <row r="611" spans="2:8" x14ac:dyDescent="0.2">
      <c r="B611" s="474" t="s">
        <v>1472</v>
      </c>
      <c r="C611" s="477">
        <v>33</v>
      </c>
      <c r="D611" s="289">
        <v>2.2000000000000002</v>
      </c>
    </row>
    <row r="612" spans="2:8" x14ac:dyDescent="0.2">
      <c r="B612" s="474" t="s">
        <v>1350</v>
      </c>
      <c r="C612" s="477">
        <v>33</v>
      </c>
      <c r="D612" s="289">
        <v>9.9499999999999993</v>
      </c>
    </row>
    <row r="613" spans="2:8" x14ac:dyDescent="0.2">
      <c r="B613" s="474" t="s">
        <v>1355</v>
      </c>
      <c r="C613" s="477">
        <v>34.000000000000028</v>
      </c>
      <c r="D613" s="289">
        <v>34.5</v>
      </c>
      <c r="G613" s="477"/>
      <c r="H613" s="289"/>
    </row>
    <row r="614" spans="2:8" x14ac:dyDescent="0.2">
      <c r="B614" s="474" t="s">
        <v>1356</v>
      </c>
      <c r="C614" s="477">
        <v>34.000000000000028</v>
      </c>
      <c r="D614" s="289">
        <v>45.5</v>
      </c>
      <c r="F614" s="1"/>
      <c r="G614" s="455"/>
      <c r="H614" s="456"/>
    </row>
    <row r="615" spans="2:8" x14ac:dyDescent="0.2">
      <c r="B615" s="474" t="s">
        <v>1357</v>
      </c>
      <c r="C615" s="477">
        <v>34.000000000000028</v>
      </c>
      <c r="D615" s="289">
        <v>56.75</v>
      </c>
      <c r="G615" s="288"/>
      <c r="H615" s="289"/>
    </row>
    <row r="616" spans="2:8" x14ac:dyDescent="0.2">
      <c r="B616" s="474" t="s">
        <v>1352</v>
      </c>
      <c r="C616" s="474">
        <v>34.999999999999922</v>
      </c>
      <c r="D616" s="289">
        <v>19.5</v>
      </c>
    </row>
    <row r="617" spans="2:8" x14ac:dyDescent="0.2">
      <c r="B617" s="1" t="s">
        <v>1358</v>
      </c>
      <c r="C617" s="455">
        <v>35</v>
      </c>
      <c r="D617" s="289">
        <v>66.5</v>
      </c>
      <c r="G617" s="477"/>
      <c r="H617" s="289"/>
    </row>
    <row r="618" spans="2:8" x14ac:dyDescent="0.2">
      <c r="B618" s="474" t="s">
        <v>1354</v>
      </c>
      <c r="C618" s="474">
        <v>35</v>
      </c>
      <c r="D618" s="289">
        <v>47.5</v>
      </c>
      <c r="G618" s="477"/>
      <c r="H618" s="289"/>
    </row>
    <row r="619" spans="2:8" x14ac:dyDescent="0.2">
      <c r="B619" s="474" t="s">
        <v>1461</v>
      </c>
      <c r="C619" s="477">
        <v>31</v>
      </c>
      <c r="D619" s="289">
        <v>244</v>
      </c>
      <c r="F619" s="1"/>
      <c r="G619" s="455"/>
      <c r="H619" s="456"/>
    </row>
    <row r="620" spans="2:8" x14ac:dyDescent="0.2">
      <c r="B620" s="1" t="s">
        <v>1463</v>
      </c>
      <c r="C620" s="455">
        <v>31</v>
      </c>
      <c r="D620" s="289">
        <v>205</v>
      </c>
      <c r="G620" s="477"/>
      <c r="H620" s="289"/>
    </row>
    <row r="621" spans="2:8" x14ac:dyDescent="0.2">
      <c r="B621" s="474" t="s">
        <v>1458</v>
      </c>
      <c r="C621" s="477">
        <v>33</v>
      </c>
      <c r="D621" s="289">
        <v>394.5</v>
      </c>
      <c r="F621" s="1"/>
      <c r="G621" s="455"/>
      <c r="H621" s="456"/>
    </row>
    <row r="622" spans="2:8" x14ac:dyDescent="0.2">
      <c r="B622" s="474" t="s">
        <v>1234</v>
      </c>
      <c r="C622" s="477">
        <v>39</v>
      </c>
      <c r="D622" s="289">
        <v>7.15</v>
      </c>
      <c r="G622" s="477"/>
      <c r="H622" s="289"/>
    </row>
    <row r="623" spans="2:8" x14ac:dyDescent="0.2">
      <c r="B623" s="474" t="s">
        <v>1162</v>
      </c>
      <c r="C623" s="477">
        <v>37</v>
      </c>
      <c r="D623" s="289">
        <v>1.8</v>
      </c>
      <c r="G623" s="477"/>
      <c r="H623" s="289"/>
    </row>
    <row r="624" spans="2:8" x14ac:dyDescent="0.2">
      <c r="B624" s="474" t="s">
        <v>1235</v>
      </c>
      <c r="C624" s="474">
        <v>39</v>
      </c>
      <c r="D624" s="289">
        <v>2.0499999999999998</v>
      </c>
      <c r="G624" s="288"/>
      <c r="H624" s="289"/>
    </row>
    <row r="625" spans="2:4" x14ac:dyDescent="0.2">
      <c r="B625" s="476" t="s">
        <v>1163</v>
      </c>
      <c r="C625" s="288">
        <v>37</v>
      </c>
      <c r="D625" s="289">
        <v>1.2999999999999998</v>
      </c>
    </row>
    <row r="626" spans="2:4" x14ac:dyDescent="0.2">
      <c r="B626" s="474" t="s">
        <v>1550</v>
      </c>
      <c r="C626" s="477">
        <v>37</v>
      </c>
      <c r="D626" s="289">
        <v>6.6</v>
      </c>
    </row>
    <row r="627" spans="2:4" x14ac:dyDescent="0.2">
      <c r="B627" s="474" t="s">
        <v>1551</v>
      </c>
      <c r="C627" s="477">
        <v>37</v>
      </c>
      <c r="D627" s="289">
        <v>1.95</v>
      </c>
    </row>
    <row r="628" spans="2:4" x14ac:dyDescent="0.2">
      <c r="B628" s="474" t="s">
        <v>1552</v>
      </c>
      <c r="C628" s="474">
        <v>39</v>
      </c>
      <c r="D628" s="289">
        <v>2.0499999999999998</v>
      </c>
    </row>
    <row r="629" spans="2:4" x14ac:dyDescent="0.2">
      <c r="B629" s="474" t="s">
        <v>1381</v>
      </c>
      <c r="C629" s="474">
        <v>37</v>
      </c>
      <c r="D629" s="289">
        <v>27</v>
      </c>
    </row>
    <row r="630" spans="2:4" x14ac:dyDescent="0.2">
      <c r="B630" s="474" t="s">
        <v>1209</v>
      </c>
      <c r="C630" s="474">
        <v>35</v>
      </c>
      <c r="D630" s="289">
        <v>6.05</v>
      </c>
    </row>
    <row r="631" spans="2:4" x14ac:dyDescent="0.2">
      <c r="B631" s="1" t="s">
        <v>1209</v>
      </c>
      <c r="C631" s="455">
        <v>35</v>
      </c>
      <c r="D631" s="289">
        <v>6.05</v>
      </c>
    </row>
    <row r="632" spans="2:4" x14ac:dyDescent="0.2">
      <c r="B632" s="474" t="s">
        <v>1210</v>
      </c>
      <c r="C632" s="474">
        <v>35</v>
      </c>
      <c r="D632" s="289">
        <v>8.9499999999999993</v>
      </c>
    </row>
    <row r="633" spans="2:4" x14ac:dyDescent="0.2">
      <c r="B633" s="1" t="s">
        <v>1210</v>
      </c>
      <c r="C633" s="455">
        <v>35</v>
      </c>
      <c r="D633" s="289">
        <v>8.9499999999999993</v>
      </c>
    </row>
    <row r="634" spans="2:4" x14ac:dyDescent="0.2">
      <c r="B634" s="474" t="s">
        <v>1502</v>
      </c>
      <c r="C634" s="477">
        <v>35</v>
      </c>
      <c r="D634" s="289">
        <v>2.4500000000000002</v>
      </c>
    </row>
    <row r="635" spans="2:4" x14ac:dyDescent="0.2">
      <c r="B635" s="474" t="s">
        <v>1502</v>
      </c>
      <c r="C635" s="474">
        <v>35</v>
      </c>
      <c r="D635" s="289">
        <v>2.4500000000000002</v>
      </c>
    </row>
    <row r="636" spans="2:4" x14ac:dyDescent="0.2">
      <c r="B636" s="474" t="s">
        <v>1164</v>
      </c>
      <c r="C636" s="288">
        <v>37</v>
      </c>
      <c r="D636" s="289">
        <v>3</v>
      </c>
    </row>
    <row r="637" spans="2:4" x14ac:dyDescent="0.2">
      <c r="B637" s="476" t="s">
        <v>1164</v>
      </c>
      <c r="C637" s="477">
        <v>37</v>
      </c>
      <c r="D637" s="289">
        <v>3</v>
      </c>
    </row>
    <row r="638" spans="2:4" x14ac:dyDescent="0.2">
      <c r="B638" s="474" t="s">
        <v>1233</v>
      </c>
      <c r="C638" s="477">
        <v>39</v>
      </c>
      <c r="D638" s="289">
        <v>2.0499999999999998</v>
      </c>
    </row>
    <row r="639" spans="2:4" x14ac:dyDescent="0.2">
      <c r="B639" s="474" t="s">
        <v>1233</v>
      </c>
      <c r="C639" s="477">
        <v>39</v>
      </c>
      <c r="D639" s="289">
        <v>2.0499999999999998</v>
      </c>
    </row>
    <row r="640" spans="2:4" x14ac:dyDescent="0.2">
      <c r="B640" s="474" t="s">
        <v>1165</v>
      </c>
      <c r="C640" s="477">
        <v>37</v>
      </c>
      <c r="D640" s="289">
        <v>1.85</v>
      </c>
    </row>
    <row r="641" spans="2:4" x14ac:dyDescent="0.2">
      <c r="B641" s="1" t="s">
        <v>1165</v>
      </c>
      <c r="C641" s="455">
        <v>37</v>
      </c>
      <c r="D641" s="289">
        <v>1.85</v>
      </c>
    </row>
    <row r="642" spans="2:4" x14ac:dyDescent="0.2">
      <c r="B642" s="474" t="s">
        <v>1444</v>
      </c>
      <c r="C642" s="477">
        <v>25</v>
      </c>
      <c r="D642" s="289">
        <v>412.5</v>
      </c>
    </row>
    <row r="643" spans="2:4" x14ac:dyDescent="0.2">
      <c r="B643" s="474" t="s">
        <v>1444</v>
      </c>
      <c r="C643" s="474">
        <v>25</v>
      </c>
      <c r="D643" s="289">
        <v>412.5</v>
      </c>
    </row>
    <row r="644" spans="2:4" x14ac:dyDescent="0.2">
      <c r="B644" s="474" t="s">
        <v>1462</v>
      </c>
      <c r="C644" s="477">
        <v>25</v>
      </c>
      <c r="D644" s="289">
        <v>244</v>
      </c>
    </row>
    <row r="645" spans="2:4" x14ac:dyDescent="0.2">
      <c r="B645" s="474" t="s">
        <v>1462</v>
      </c>
      <c r="C645" s="474">
        <v>25</v>
      </c>
      <c r="D645" s="289">
        <v>244</v>
      </c>
    </row>
    <row r="646" spans="2:4" x14ac:dyDescent="0.2">
      <c r="B646" s="474" t="s">
        <v>1459</v>
      </c>
      <c r="C646" s="477">
        <v>25</v>
      </c>
      <c r="D646" s="289">
        <v>419.5</v>
      </c>
    </row>
    <row r="647" spans="2:4" x14ac:dyDescent="0.2">
      <c r="B647" s="474" t="s">
        <v>1459</v>
      </c>
      <c r="C647" s="474">
        <v>25</v>
      </c>
      <c r="D647" s="289">
        <v>419.5</v>
      </c>
    </row>
    <row r="648" spans="2:4" x14ac:dyDescent="0.2">
      <c r="B648" s="474" t="s">
        <v>1245</v>
      </c>
      <c r="C648" s="474">
        <v>29</v>
      </c>
      <c r="D648" s="289">
        <v>3.15</v>
      </c>
    </row>
    <row r="649" spans="2:4" x14ac:dyDescent="0.2">
      <c r="B649" s="474" t="s">
        <v>1245</v>
      </c>
      <c r="C649" s="477">
        <v>29</v>
      </c>
      <c r="D649" s="289">
        <v>3.15</v>
      </c>
    </row>
    <row r="650" spans="2:4" x14ac:dyDescent="0.2">
      <c r="B650" s="474" t="s">
        <v>1362</v>
      </c>
      <c r="C650" s="474">
        <v>33</v>
      </c>
      <c r="D650" s="289">
        <v>113.5</v>
      </c>
    </row>
    <row r="651" spans="2:4" x14ac:dyDescent="0.2">
      <c r="B651" s="474" t="s">
        <v>1362</v>
      </c>
      <c r="C651" s="477">
        <v>33</v>
      </c>
      <c r="D651" s="289">
        <v>113.5</v>
      </c>
    </row>
    <row r="652" spans="2:4" x14ac:dyDescent="0.2">
      <c r="B652" s="474" t="s">
        <v>1258</v>
      </c>
      <c r="C652" s="477">
        <v>37</v>
      </c>
      <c r="D652" s="289">
        <v>2.4500000000000002</v>
      </c>
    </row>
    <row r="653" spans="2:4" x14ac:dyDescent="0.2">
      <c r="B653" s="474" t="s">
        <v>1258</v>
      </c>
      <c r="C653" s="477">
        <v>37</v>
      </c>
      <c r="D653" s="289">
        <v>2.4500000000000002</v>
      </c>
    </row>
    <row r="654" spans="2:4" x14ac:dyDescent="0.2">
      <c r="B654" s="474" t="s">
        <v>1180</v>
      </c>
      <c r="C654" s="477">
        <v>36.000000000000028</v>
      </c>
      <c r="D654" s="289">
        <v>3.3499999999999996</v>
      </c>
    </row>
    <row r="655" spans="2:4" x14ac:dyDescent="0.2">
      <c r="B655" s="474" t="s">
        <v>1180</v>
      </c>
      <c r="C655" s="477">
        <v>36.000000000000028</v>
      </c>
      <c r="D655" s="289">
        <v>3.3499999999999996</v>
      </c>
    </row>
    <row r="656" spans="2:4" x14ac:dyDescent="0.2">
      <c r="B656" s="474" t="s">
        <v>110</v>
      </c>
      <c r="C656" s="474"/>
    </row>
    <row r="657" spans="2:3" x14ac:dyDescent="0.2">
      <c r="B657" s="1" t="s">
        <v>110</v>
      </c>
      <c r="C657" s="455"/>
    </row>
  </sheetData>
  <sortState xmlns:xlrd2="http://schemas.microsoft.com/office/spreadsheetml/2017/richdata2" ref="B1:D658">
    <sortCondition ref="B1:B658"/>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499984740745262"/>
  </sheetPr>
  <dimension ref="A2:J411"/>
  <sheetViews>
    <sheetView showGridLines="0" zoomScale="85" zoomScaleNormal="85" workbookViewId="0"/>
  </sheetViews>
  <sheetFormatPr defaultColWidth="9.42578125" defaultRowHeight="12.75" x14ac:dyDescent="0.2"/>
  <cols>
    <col min="1" max="1" width="2.5703125" style="1" customWidth="1"/>
    <col min="2" max="2" width="39.42578125" style="1" bestFit="1" customWidth="1"/>
    <col min="3" max="4" width="7.5703125" style="481" customWidth="1"/>
    <col min="5" max="5" width="7.42578125" style="481" bestFit="1" customWidth="1"/>
    <col min="6" max="6" width="6.42578125" style="1" bestFit="1" customWidth="1"/>
    <col min="7" max="7" width="5.5703125" style="1" customWidth="1"/>
    <col min="8" max="8" width="39.140625" style="1" bestFit="1" customWidth="1"/>
    <col min="9" max="9" width="5.140625" style="1" bestFit="1" customWidth="1"/>
    <col min="10" max="10" width="6.42578125" style="1" bestFit="1" customWidth="1"/>
    <col min="11" max="16384" width="9.42578125" style="1"/>
  </cols>
  <sheetData>
    <row r="2" spans="1:10" x14ac:dyDescent="0.2">
      <c r="B2" s="478"/>
      <c r="C2" s="633" t="s">
        <v>151</v>
      </c>
      <c r="D2" s="633"/>
      <c r="E2" s="479" t="s">
        <v>152</v>
      </c>
      <c r="F2" s="479" t="s">
        <v>24</v>
      </c>
      <c r="G2" s="479"/>
    </row>
    <row r="3" spans="1:10" x14ac:dyDescent="0.2">
      <c r="B3" s="480" t="s">
        <v>153</v>
      </c>
      <c r="F3" s="481"/>
      <c r="G3" s="481"/>
      <c r="H3" s="480" t="s">
        <v>154</v>
      </c>
      <c r="I3" s="481">
        <v>75</v>
      </c>
      <c r="J3" s="481" t="s">
        <v>155</v>
      </c>
    </row>
    <row r="4" spans="1:10" x14ac:dyDescent="0.2">
      <c r="B4" s="480" t="s">
        <v>154</v>
      </c>
      <c r="C4" s="481">
        <v>73</v>
      </c>
      <c r="D4" s="481">
        <v>77</v>
      </c>
      <c r="E4" s="481">
        <f t="shared" ref="E4:E67" si="0">AVERAGE(C4:D4)</f>
        <v>75</v>
      </c>
      <c r="F4" s="481" t="s">
        <v>155</v>
      </c>
      <c r="G4" s="481"/>
      <c r="H4" s="480" t="s">
        <v>156</v>
      </c>
      <c r="I4" s="481">
        <v>76</v>
      </c>
      <c r="J4" s="481" t="s">
        <v>157</v>
      </c>
    </row>
    <row r="5" spans="1:10" x14ac:dyDescent="0.2">
      <c r="A5" s="482"/>
      <c r="B5" s="480" t="s">
        <v>156</v>
      </c>
      <c r="C5" s="481">
        <v>74</v>
      </c>
      <c r="D5" s="481">
        <v>78</v>
      </c>
      <c r="E5" s="481">
        <f t="shared" si="0"/>
        <v>76</v>
      </c>
      <c r="F5" s="481" t="s">
        <v>157</v>
      </c>
      <c r="G5" s="481"/>
      <c r="H5" s="480" t="s">
        <v>158</v>
      </c>
      <c r="I5" s="481">
        <v>75.5</v>
      </c>
      <c r="J5" s="481" t="s">
        <v>157</v>
      </c>
    </row>
    <row r="6" spans="1:10" x14ac:dyDescent="0.2">
      <c r="A6" s="482"/>
      <c r="B6" s="480" t="s">
        <v>158</v>
      </c>
      <c r="C6" s="481">
        <v>74</v>
      </c>
      <c r="D6" s="481">
        <v>77</v>
      </c>
      <c r="E6" s="481">
        <f t="shared" si="0"/>
        <v>75.5</v>
      </c>
      <c r="F6" s="481" t="s">
        <v>157</v>
      </c>
      <c r="G6" s="481"/>
      <c r="H6" s="480" t="s">
        <v>159</v>
      </c>
      <c r="I6" s="481">
        <v>75</v>
      </c>
      <c r="J6" s="481" t="s">
        <v>157</v>
      </c>
    </row>
    <row r="7" spans="1:10" x14ac:dyDescent="0.2">
      <c r="B7" s="480" t="s">
        <v>159</v>
      </c>
      <c r="C7" s="481">
        <v>73</v>
      </c>
      <c r="D7" s="481">
        <v>77</v>
      </c>
      <c r="E7" s="481">
        <f t="shared" si="0"/>
        <v>75</v>
      </c>
      <c r="F7" s="481" t="s">
        <v>157</v>
      </c>
      <c r="G7" s="481"/>
      <c r="H7" s="480" t="s">
        <v>160</v>
      </c>
      <c r="I7" s="481">
        <v>75</v>
      </c>
      <c r="J7" s="481" t="s">
        <v>157</v>
      </c>
    </row>
    <row r="8" spans="1:10" x14ac:dyDescent="0.2">
      <c r="B8" s="480" t="s">
        <v>160</v>
      </c>
      <c r="C8" s="481">
        <v>73</v>
      </c>
      <c r="D8" s="481">
        <v>77</v>
      </c>
      <c r="E8" s="481">
        <f t="shared" si="0"/>
        <v>75</v>
      </c>
      <c r="F8" s="481" t="s">
        <v>157</v>
      </c>
      <c r="G8" s="481"/>
      <c r="H8" s="480" t="s">
        <v>161</v>
      </c>
      <c r="I8" s="481">
        <v>73</v>
      </c>
      <c r="J8" s="481" t="s">
        <v>157</v>
      </c>
    </row>
    <row r="9" spans="1:10" x14ac:dyDescent="0.2">
      <c r="B9" s="480" t="s">
        <v>161</v>
      </c>
      <c r="C9" s="481">
        <v>71</v>
      </c>
      <c r="D9" s="481">
        <v>75</v>
      </c>
      <c r="E9" s="481">
        <f t="shared" si="0"/>
        <v>73</v>
      </c>
      <c r="F9" s="481" t="s">
        <v>157</v>
      </c>
      <c r="G9" s="481"/>
      <c r="H9" s="480" t="s">
        <v>162</v>
      </c>
      <c r="I9" s="481">
        <v>73</v>
      </c>
      <c r="J9" s="481" t="s">
        <v>157</v>
      </c>
    </row>
    <row r="10" spans="1:10" x14ac:dyDescent="0.2">
      <c r="B10" s="480" t="s">
        <v>162</v>
      </c>
      <c r="C10" s="481">
        <v>71</v>
      </c>
      <c r="D10" s="481">
        <v>75</v>
      </c>
      <c r="E10" s="481">
        <f t="shared" si="0"/>
        <v>73</v>
      </c>
      <c r="F10" s="481" t="s">
        <v>157</v>
      </c>
      <c r="G10" s="481"/>
      <c r="H10" s="480" t="s">
        <v>163</v>
      </c>
      <c r="I10" s="481">
        <v>74</v>
      </c>
      <c r="J10" s="481" t="s">
        <v>157</v>
      </c>
    </row>
    <row r="11" spans="1:10" x14ac:dyDescent="0.2">
      <c r="A11" s="483"/>
      <c r="B11" s="480" t="s">
        <v>163</v>
      </c>
      <c r="C11" s="481">
        <v>73</v>
      </c>
      <c r="D11" s="481">
        <v>75</v>
      </c>
      <c r="E11" s="481">
        <f t="shared" si="0"/>
        <v>74</v>
      </c>
      <c r="F11" s="481" t="s">
        <v>157</v>
      </c>
      <c r="G11" s="481"/>
      <c r="H11" s="480" t="s">
        <v>164</v>
      </c>
      <c r="I11" s="481">
        <v>70</v>
      </c>
      <c r="J11" s="481" t="s">
        <v>157</v>
      </c>
    </row>
    <row r="12" spans="1:10" x14ac:dyDescent="0.2">
      <c r="A12" s="482"/>
      <c r="B12" s="480" t="s">
        <v>164</v>
      </c>
      <c r="C12" s="481">
        <v>68</v>
      </c>
      <c r="D12" s="481">
        <v>72</v>
      </c>
      <c r="E12" s="481">
        <f t="shared" si="0"/>
        <v>70</v>
      </c>
      <c r="F12" s="481" t="s">
        <v>157</v>
      </c>
      <c r="G12" s="481"/>
      <c r="H12" s="480" t="s">
        <v>165</v>
      </c>
      <c r="I12" s="481">
        <v>70</v>
      </c>
      <c r="J12" s="481" t="s">
        <v>157</v>
      </c>
    </row>
    <row r="13" spans="1:10" x14ac:dyDescent="0.2">
      <c r="A13" s="483"/>
      <c r="B13" s="480" t="s">
        <v>165</v>
      </c>
      <c r="C13" s="481">
        <v>68</v>
      </c>
      <c r="D13" s="481">
        <v>72</v>
      </c>
      <c r="E13" s="481">
        <f t="shared" si="0"/>
        <v>70</v>
      </c>
      <c r="F13" s="481" t="s">
        <v>157</v>
      </c>
      <c r="G13" s="481"/>
      <c r="H13" s="480" t="s">
        <v>166</v>
      </c>
      <c r="I13" s="481">
        <v>72.5</v>
      </c>
      <c r="J13" s="481" t="s">
        <v>157</v>
      </c>
    </row>
    <row r="14" spans="1:10" x14ac:dyDescent="0.2">
      <c r="A14" s="483"/>
      <c r="B14" s="480" t="s">
        <v>166</v>
      </c>
      <c r="C14" s="481">
        <v>71</v>
      </c>
      <c r="D14" s="481">
        <v>74</v>
      </c>
      <c r="E14" s="481">
        <f t="shared" si="0"/>
        <v>72.5</v>
      </c>
      <c r="F14" s="481" t="s">
        <v>157</v>
      </c>
      <c r="G14" s="481"/>
      <c r="H14" s="480" t="s">
        <v>167</v>
      </c>
      <c r="I14" s="481">
        <v>74</v>
      </c>
      <c r="J14" s="481" t="s">
        <v>157</v>
      </c>
    </row>
    <row r="15" spans="1:10" x14ac:dyDescent="0.2">
      <c r="A15" s="482"/>
      <c r="B15" s="480" t="s">
        <v>167</v>
      </c>
      <c r="C15" s="481">
        <v>72</v>
      </c>
      <c r="D15" s="481">
        <v>76</v>
      </c>
      <c r="E15" s="481">
        <f t="shared" si="0"/>
        <v>74</v>
      </c>
      <c r="F15" s="481" t="s">
        <v>157</v>
      </c>
      <c r="G15" s="481"/>
      <c r="H15" s="480" t="s">
        <v>168</v>
      </c>
      <c r="I15" s="481">
        <v>76.5</v>
      </c>
      <c r="J15" s="481" t="s">
        <v>157</v>
      </c>
    </row>
    <row r="16" spans="1:10" x14ac:dyDescent="0.2">
      <c r="A16" s="483"/>
      <c r="B16" s="480" t="s">
        <v>168</v>
      </c>
      <c r="C16" s="481">
        <v>73</v>
      </c>
      <c r="D16" s="481">
        <v>80</v>
      </c>
      <c r="E16" s="481">
        <f t="shared" si="0"/>
        <v>76.5</v>
      </c>
      <c r="F16" s="481" t="s">
        <v>157</v>
      </c>
      <c r="G16" s="481"/>
      <c r="H16" s="480" t="s">
        <v>169</v>
      </c>
      <c r="I16" s="481">
        <v>74</v>
      </c>
      <c r="J16" s="481" t="s">
        <v>157</v>
      </c>
    </row>
    <row r="17" spans="1:10" x14ac:dyDescent="0.2">
      <c r="A17" s="482"/>
      <c r="B17" s="480" t="s">
        <v>169</v>
      </c>
      <c r="C17" s="481">
        <v>72</v>
      </c>
      <c r="D17" s="481">
        <v>76</v>
      </c>
      <c r="E17" s="481">
        <f t="shared" si="0"/>
        <v>74</v>
      </c>
      <c r="F17" s="481" t="s">
        <v>157</v>
      </c>
      <c r="G17" s="481"/>
      <c r="H17" s="480" t="s">
        <v>170</v>
      </c>
      <c r="I17" s="481">
        <v>74</v>
      </c>
      <c r="J17" s="481" t="s">
        <v>157</v>
      </c>
    </row>
    <row r="18" spans="1:10" x14ac:dyDescent="0.2">
      <c r="A18" s="482"/>
      <c r="B18" s="480" t="s">
        <v>170</v>
      </c>
      <c r="C18" s="481">
        <v>72</v>
      </c>
      <c r="D18" s="481">
        <v>76</v>
      </c>
      <c r="E18" s="481">
        <f t="shared" si="0"/>
        <v>74</v>
      </c>
      <c r="F18" s="481" t="s">
        <v>157</v>
      </c>
      <c r="G18" s="481"/>
      <c r="H18" s="480" t="s">
        <v>171</v>
      </c>
      <c r="I18" s="481">
        <v>73</v>
      </c>
      <c r="J18" s="481" t="s">
        <v>157</v>
      </c>
    </row>
    <row r="19" spans="1:10" x14ac:dyDescent="0.2">
      <c r="A19" s="482"/>
      <c r="B19" s="480" t="s">
        <v>171</v>
      </c>
      <c r="C19" s="481">
        <v>71</v>
      </c>
      <c r="D19" s="481">
        <v>75</v>
      </c>
      <c r="E19" s="481">
        <f t="shared" si="0"/>
        <v>73</v>
      </c>
      <c r="F19" s="481" t="s">
        <v>157</v>
      </c>
      <c r="G19" s="481"/>
      <c r="H19" s="480" t="s">
        <v>64</v>
      </c>
      <c r="I19" s="481">
        <v>69</v>
      </c>
      <c r="J19" s="481" t="s">
        <v>157</v>
      </c>
    </row>
    <row r="20" spans="1:10" x14ac:dyDescent="0.2">
      <c r="A20" s="482"/>
      <c r="B20" s="480" t="s">
        <v>64</v>
      </c>
      <c r="C20" s="481">
        <v>67</v>
      </c>
      <c r="D20" s="481">
        <v>71</v>
      </c>
      <c r="E20" s="481">
        <f t="shared" si="0"/>
        <v>69</v>
      </c>
      <c r="F20" s="481" t="s">
        <v>157</v>
      </c>
      <c r="G20" s="481"/>
      <c r="H20" s="480" t="s">
        <v>172</v>
      </c>
      <c r="I20" s="481">
        <v>74.5</v>
      </c>
      <c r="J20" s="481" t="s">
        <v>157</v>
      </c>
    </row>
    <row r="21" spans="1:10" x14ac:dyDescent="0.2">
      <c r="A21" s="482"/>
      <c r="B21" s="480" t="s">
        <v>172</v>
      </c>
      <c r="C21" s="481">
        <v>73</v>
      </c>
      <c r="D21" s="481">
        <v>76</v>
      </c>
      <c r="E21" s="481">
        <f t="shared" si="0"/>
        <v>74.5</v>
      </c>
      <c r="F21" s="481" t="s">
        <v>157</v>
      </c>
      <c r="G21" s="481"/>
      <c r="H21" s="480" t="s">
        <v>173</v>
      </c>
      <c r="I21" s="481">
        <v>69</v>
      </c>
      <c r="J21" s="481" t="s">
        <v>157</v>
      </c>
    </row>
    <row r="22" spans="1:10" x14ac:dyDescent="0.2">
      <c r="A22" s="482"/>
      <c r="B22" s="480" t="s">
        <v>173</v>
      </c>
      <c r="C22" s="481">
        <v>67</v>
      </c>
      <c r="D22" s="481">
        <v>71</v>
      </c>
      <c r="E22" s="481">
        <f t="shared" si="0"/>
        <v>69</v>
      </c>
      <c r="F22" s="481" t="s">
        <v>157</v>
      </c>
      <c r="G22" s="481"/>
      <c r="H22" s="480" t="s">
        <v>174</v>
      </c>
      <c r="I22" s="481">
        <v>75</v>
      </c>
      <c r="J22" s="481" t="s">
        <v>157</v>
      </c>
    </row>
    <row r="23" spans="1:10" x14ac:dyDescent="0.2">
      <c r="A23" s="482"/>
      <c r="B23" s="480" t="s">
        <v>174</v>
      </c>
      <c r="C23" s="481">
        <v>73</v>
      </c>
      <c r="D23" s="481">
        <v>77</v>
      </c>
      <c r="E23" s="481">
        <f t="shared" si="0"/>
        <v>75</v>
      </c>
      <c r="F23" s="481" t="s">
        <v>157</v>
      </c>
      <c r="G23" s="481"/>
      <c r="H23" s="480" t="s">
        <v>175</v>
      </c>
      <c r="I23" s="481">
        <v>75</v>
      </c>
      <c r="J23" s="481" t="s">
        <v>157</v>
      </c>
    </row>
    <row r="24" spans="1:10" x14ac:dyDescent="0.2">
      <c r="A24" s="482"/>
      <c r="B24" s="480" t="s">
        <v>175</v>
      </c>
      <c r="C24" s="481">
        <v>74</v>
      </c>
      <c r="D24" s="481">
        <v>76</v>
      </c>
      <c r="E24" s="481">
        <f t="shared" si="0"/>
        <v>75</v>
      </c>
      <c r="F24" s="481" t="s">
        <v>157</v>
      </c>
      <c r="G24" s="481"/>
      <c r="H24" s="480" t="s">
        <v>176</v>
      </c>
      <c r="I24" s="481">
        <v>69</v>
      </c>
      <c r="J24" s="481" t="s">
        <v>157</v>
      </c>
    </row>
    <row r="25" spans="1:10" x14ac:dyDescent="0.2">
      <c r="A25" s="483"/>
      <c r="B25" s="480" t="s">
        <v>176</v>
      </c>
      <c r="C25" s="481">
        <v>67</v>
      </c>
      <c r="D25" s="481">
        <v>71</v>
      </c>
      <c r="E25" s="481">
        <f t="shared" si="0"/>
        <v>69</v>
      </c>
      <c r="F25" s="481" t="s">
        <v>157</v>
      </c>
      <c r="G25" s="481"/>
      <c r="H25" s="480" t="s">
        <v>177</v>
      </c>
      <c r="I25" s="481">
        <v>77.5</v>
      </c>
      <c r="J25" s="481" t="s">
        <v>157</v>
      </c>
    </row>
    <row r="26" spans="1:10" x14ac:dyDescent="0.2">
      <c r="A26" s="482"/>
      <c r="B26" s="480" t="s">
        <v>177</v>
      </c>
      <c r="C26" s="481">
        <v>70</v>
      </c>
      <c r="D26" s="481">
        <v>85</v>
      </c>
      <c r="E26" s="481">
        <f t="shared" si="0"/>
        <v>77.5</v>
      </c>
      <c r="F26" s="481" t="s">
        <v>157</v>
      </c>
      <c r="G26" s="481"/>
      <c r="H26" s="480" t="s">
        <v>178</v>
      </c>
      <c r="I26" s="481">
        <v>71</v>
      </c>
      <c r="J26" s="481" t="s">
        <v>157</v>
      </c>
    </row>
    <row r="27" spans="1:10" x14ac:dyDescent="0.2">
      <c r="A27" s="482"/>
      <c r="B27" s="480" t="s">
        <v>178</v>
      </c>
      <c r="C27" s="481">
        <v>69</v>
      </c>
      <c r="D27" s="481">
        <v>73</v>
      </c>
      <c r="E27" s="481">
        <f t="shared" si="0"/>
        <v>71</v>
      </c>
      <c r="F27" s="481" t="s">
        <v>157</v>
      </c>
      <c r="G27" s="481"/>
      <c r="H27" s="480" t="s">
        <v>179</v>
      </c>
      <c r="I27" s="481">
        <v>75</v>
      </c>
      <c r="J27" s="481" t="s">
        <v>157</v>
      </c>
    </row>
    <row r="28" spans="1:10" x14ac:dyDescent="0.2">
      <c r="A28" s="482"/>
      <c r="B28" s="480" t="s">
        <v>179</v>
      </c>
      <c r="C28" s="481">
        <v>73</v>
      </c>
      <c r="D28" s="481">
        <v>77</v>
      </c>
      <c r="E28" s="481">
        <f t="shared" si="0"/>
        <v>75</v>
      </c>
      <c r="F28" s="481" t="s">
        <v>157</v>
      </c>
      <c r="G28" s="481"/>
      <c r="H28" s="480" t="s">
        <v>180</v>
      </c>
      <c r="I28" s="481">
        <v>75</v>
      </c>
      <c r="J28" s="481" t="s">
        <v>157</v>
      </c>
    </row>
    <row r="29" spans="1:10" x14ac:dyDescent="0.2">
      <c r="A29" s="482"/>
      <c r="B29" s="480" t="s">
        <v>180</v>
      </c>
      <c r="C29" s="481">
        <v>72</v>
      </c>
      <c r="D29" s="481">
        <v>78</v>
      </c>
      <c r="E29" s="481">
        <f t="shared" si="0"/>
        <v>75</v>
      </c>
      <c r="F29" s="481" t="s">
        <v>157</v>
      </c>
      <c r="G29" s="481"/>
      <c r="H29" s="480" t="s">
        <v>181</v>
      </c>
      <c r="I29" s="481">
        <v>75</v>
      </c>
      <c r="J29" s="481" t="s">
        <v>157</v>
      </c>
    </row>
    <row r="30" spans="1:10" x14ac:dyDescent="0.2">
      <c r="A30" s="482"/>
      <c r="B30" s="480" t="s">
        <v>181</v>
      </c>
      <c r="C30" s="481">
        <v>72</v>
      </c>
      <c r="D30" s="481">
        <v>78</v>
      </c>
      <c r="E30" s="481">
        <f t="shared" si="0"/>
        <v>75</v>
      </c>
      <c r="F30" s="481" t="s">
        <v>157</v>
      </c>
      <c r="G30" s="481"/>
      <c r="H30" s="480" t="s">
        <v>182</v>
      </c>
      <c r="I30" s="481">
        <v>75</v>
      </c>
      <c r="J30" s="481" t="s">
        <v>157</v>
      </c>
    </row>
    <row r="31" spans="1:10" x14ac:dyDescent="0.2">
      <c r="A31" s="482"/>
      <c r="B31" s="480" t="s">
        <v>182</v>
      </c>
      <c r="C31" s="481">
        <v>72</v>
      </c>
      <c r="D31" s="481">
        <v>78</v>
      </c>
      <c r="E31" s="481">
        <f t="shared" si="0"/>
        <v>75</v>
      </c>
      <c r="F31" s="481" t="s">
        <v>157</v>
      </c>
      <c r="G31" s="481"/>
      <c r="H31" s="480" t="s">
        <v>183</v>
      </c>
      <c r="I31" s="481">
        <v>69</v>
      </c>
      <c r="J31" s="481" t="s">
        <v>157</v>
      </c>
    </row>
    <row r="32" spans="1:10" x14ac:dyDescent="0.2">
      <c r="A32" s="482"/>
      <c r="B32" s="480" t="s">
        <v>183</v>
      </c>
      <c r="C32" s="481">
        <v>67</v>
      </c>
      <c r="D32" s="481">
        <v>71</v>
      </c>
      <c r="E32" s="481">
        <f t="shared" si="0"/>
        <v>69</v>
      </c>
      <c r="F32" s="481" t="s">
        <v>157</v>
      </c>
      <c r="G32" s="481"/>
      <c r="H32" s="480" t="s">
        <v>184</v>
      </c>
      <c r="I32" s="481">
        <v>73</v>
      </c>
      <c r="J32" s="481" t="s">
        <v>185</v>
      </c>
    </row>
    <row r="33" spans="1:10" x14ac:dyDescent="0.2">
      <c r="A33" s="483"/>
      <c r="B33" s="480" t="s">
        <v>186</v>
      </c>
      <c r="C33" s="481">
        <v>75</v>
      </c>
      <c r="D33" s="481">
        <v>80</v>
      </c>
      <c r="E33" s="481">
        <f t="shared" si="0"/>
        <v>77.5</v>
      </c>
      <c r="F33" s="481" t="s">
        <v>157</v>
      </c>
      <c r="G33" s="481"/>
      <c r="H33" s="480" t="s">
        <v>187</v>
      </c>
      <c r="I33" s="481">
        <v>74</v>
      </c>
      <c r="J33" s="481" t="s">
        <v>185</v>
      </c>
    </row>
    <row r="34" spans="1:10" x14ac:dyDescent="0.2">
      <c r="A34" s="482"/>
      <c r="B34" s="480" t="s">
        <v>188</v>
      </c>
      <c r="C34" s="481">
        <v>75</v>
      </c>
      <c r="D34" s="481">
        <v>80</v>
      </c>
      <c r="E34" s="481">
        <f t="shared" si="0"/>
        <v>77.5</v>
      </c>
      <c r="F34" s="481" t="s">
        <v>157</v>
      </c>
      <c r="G34" s="481"/>
      <c r="H34" s="480" t="s">
        <v>189</v>
      </c>
      <c r="I34" s="481">
        <v>73</v>
      </c>
      <c r="J34" s="481" t="s">
        <v>185</v>
      </c>
    </row>
    <row r="35" spans="1:10" x14ac:dyDescent="0.2">
      <c r="A35" s="483"/>
      <c r="B35" s="480" t="s">
        <v>184</v>
      </c>
      <c r="C35" s="481">
        <v>71</v>
      </c>
      <c r="D35" s="481">
        <v>75</v>
      </c>
      <c r="E35" s="481">
        <f t="shared" si="0"/>
        <v>73</v>
      </c>
      <c r="F35" s="481" t="s">
        <v>185</v>
      </c>
      <c r="G35" s="481"/>
      <c r="H35" s="480" t="s">
        <v>190</v>
      </c>
      <c r="I35" s="481">
        <v>73</v>
      </c>
      <c r="J35" s="481" t="s">
        <v>185</v>
      </c>
    </row>
    <row r="36" spans="1:10" x14ac:dyDescent="0.2">
      <c r="A36" s="483"/>
      <c r="B36" s="480" t="s">
        <v>187</v>
      </c>
      <c r="C36" s="481">
        <v>72</v>
      </c>
      <c r="D36" s="481">
        <v>76</v>
      </c>
      <c r="E36" s="481">
        <f t="shared" si="0"/>
        <v>74</v>
      </c>
      <c r="F36" s="481" t="s">
        <v>185</v>
      </c>
      <c r="G36" s="481"/>
      <c r="H36" s="480" t="s">
        <v>191</v>
      </c>
      <c r="I36" s="481">
        <v>75</v>
      </c>
      <c r="J36" s="481" t="s">
        <v>185</v>
      </c>
    </row>
    <row r="37" spans="1:10" x14ac:dyDescent="0.2">
      <c r="A37" s="482"/>
      <c r="B37" s="480" t="s">
        <v>189</v>
      </c>
      <c r="C37" s="481">
        <v>71</v>
      </c>
      <c r="D37" s="481">
        <v>75</v>
      </c>
      <c r="E37" s="481">
        <f t="shared" si="0"/>
        <v>73</v>
      </c>
      <c r="F37" s="481" t="s">
        <v>185</v>
      </c>
      <c r="G37" s="481"/>
      <c r="H37" s="480" t="s">
        <v>192</v>
      </c>
      <c r="I37" s="481">
        <v>75</v>
      </c>
      <c r="J37" s="481" t="s">
        <v>185</v>
      </c>
    </row>
    <row r="38" spans="1:10" x14ac:dyDescent="0.2">
      <c r="A38" s="483"/>
      <c r="B38" s="480" t="s">
        <v>190</v>
      </c>
      <c r="C38" s="481">
        <v>71</v>
      </c>
      <c r="D38" s="481">
        <v>75</v>
      </c>
      <c r="E38" s="481">
        <f t="shared" si="0"/>
        <v>73</v>
      </c>
      <c r="F38" s="481" t="s">
        <v>185</v>
      </c>
      <c r="G38" s="481"/>
      <c r="H38" s="480" t="s">
        <v>193</v>
      </c>
      <c r="I38" s="481">
        <v>72</v>
      </c>
      <c r="J38" s="481" t="s">
        <v>185</v>
      </c>
    </row>
    <row r="39" spans="1:10" x14ac:dyDescent="0.2">
      <c r="A39" s="482"/>
      <c r="B39" s="480" t="s">
        <v>191</v>
      </c>
      <c r="C39" s="481">
        <v>73</v>
      </c>
      <c r="D39" s="481">
        <v>77</v>
      </c>
      <c r="E39" s="481">
        <f t="shared" si="0"/>
        <v>75</v>
      </c>
      <c r="F39" s="481" t="s">
        <v>185</v>
      </c>
      <c r="G39" s="481"/>
      <c r="H39" s="480" t="s">
        <v>194</v>
      </c>
      <c r="I39" s="481">
        <v>69</v>
      </c>
      <c r="J39" s="481" t="s">
        <v>155</v>
      </c>
    </row>
    <row r="40" spans="1:10" x14ac:dyDescent="0.2">
      <c r="A40" s="483"/>
      <c r="B40" s="480" t="s">
        <v>192</v>
      </c>
      <c r="C40" s="481">
        <v>73</v>
      </c>
      <c r="D40" s="481">
        <v>77</v>
      </c>
      <c r="E40" s="481">
        <f t="shared" si="0"/>
        <v>75</v>
      </c>
      <c r="F40" s="481" t="s">
        <v>185</v>
      </c>
      <c r="G40" s="481"/>
      <c r="H40" s="480" t="s">
        <v>195</v>
      </c>
      <c r="I40" s="481">
        <v>71</v>
      </c>
      <c r="J40" s="481" t="s">
        <v>185</v>
      </c>
    </row>
    <row r="41" spans="1:10" x14ac:dyDescent="0.2">
      <c r="A41" s="483"/>
      <c r="B41" s="480" t="s">
        <v>193</v>
      </c>
      <c r="C41" s="481">
        <v>70</v>
      </c>
      <c r="D41" s="481">
        <v>74</v>
      </c>
      <c r="E41" s="481">
        <f t="shared" si="0"/>
        <v>72</v>
      </c>
      <c r="F41" s="481" t="s">
        <v>185</v>
      </c>
      <c r="G41" s="481"/>
      <c r="H41" s="480" t="s">
        <v>196</v>
      </c>
      <c r="I41" s="481">
        <v>75</v>
      </c>
      <c r="J41" s="481" t="s">
        <v>185</v>
      </c>
    </row>
    <row r="42" spans="1:10" x14ac:dyDescent="0.2">
      <c r="A42" s="482"/>
      <c r="B42" s="480" t="s">
        <v>194</v>
      </c>
      <c r="C42" s="481">
        <v>67</v>
      </c>
      <c r="D42" s="481">
        <v>71</v>
      </c>
      <c r="E42" s="481">
        <f t="shared" si="0"/>
        <v>69</v>
      </c>
      <c r="F42" s="481" t="s">
        <v>155</v>
      </c>
      <c r="G42" s="481"/>
      <c r="H42" s="480" t="s">
        <v>197</v>
      </c>
      <c r="I42" s="481">
        <v>75</v>
      </c>
      <c r="J42" s="481" t="s">
        <v>185</v>
      </c>
    </row>
    <row r="43" spans="1:10" x14ac:dyDescent="0.2">
      <c r="A43" s="483"/>
      <c r="B43" s="480" t="s">
        <v>195</v>
      </c>
      <c r="C43" s="481">
        <v>69</v>
      </c>
      <c r="D43" s="481">
        <v>73</v>
      </c>
      <c r="E43" s="481">
        <f t="shared" si="0"/>
        <v>71</v>
      </c>
      <c r="F43" s="481" t="s">
        <v>185</v>
      </c>
      <c r="G43" s="481"/>
      <c r="H43" s="480" t="s">
        <v>198</v>
      </c>
      <c r="I43" s="481">
        <v>75</v>
      </c>
      <c r="J43" s="481" t="s">
        <v>185</v>
      </c>
    </row>
    <row r="44" spans="1:10" x14ac:dyDescent="0.2">
      <c r="A44" s="482"/>
      <c r="B44" s="480" t="s">
        <v>196</v>
      </c>
      <c r="C44" s="481">
        <v>73</v>
      </c>
      <c r="D44" s="481">
        <v>77</v>
      </c>
      <c r="E44" s="481">
        <f t="shared" si="0"/>
        <v>75</v>
      </c>
      <c r="F44" s="481" t="s">
        <v>185</v>
      </c>
      <c r="G44" s="481"/>
      <c r="H44" s="480" t="s">
        <v>199</v>
      </c>
      <c r="I44" s="481">
        <v>73</v>
      </c>
      <c r="J44" s="481" t="s">
        <v>185</v>
      </c>
    </row>
    <row r="45" spans="1:10" x14ac:dyDescent="0.2">
      <c r="A45" s="482"/>
      <c r="B45" s="480" t="s">
        <v>197</v>
      </c>
      <c r="C45" s="481">
        <v>73</v>
      </c>
      <c r="D45" s="481">
        <v>77</v>
      </c>
      <c r="E45" s="481">
        <f t="shared" si="0"/>
        <v>75</v>
      </c>
      <c r="F45" s="481" t="s">
        <v>185</v>
      </c>
      <c r="G45" s="481"/>
      <c r="H45" s="480" t="s">
        <v>200</v>
      </c>
      <c r="I45" s="481">
        <v>72</v>
      </c>
      <c r="J45" s="481" t="s">
        <v>185</v>
      </c>
    </row>
    <row r="46" spans="1:10" x14ac:dyDescent="0.2">
      <c r="A46" s="483"/>
      <c r="B46" s="480" t="s">
        <v>198</v>
      </c>
      <c r="C46" s="481">
        <v>73</v>
      </c>
      <c r="D46" s="481">
        <v>77</v>
      </c>
      <c r="E46" s="481">
        <f t="shared" si="0"/>
        <v>75</v>
      </c>
      <c r="F46" s="481" t="s">
        <v>185</v>
      </c>
      <c r="G46" s="481"/>
      <c r="H46" s="480" t="s">
        <v>201</v>
      </c>
      <c r="I46" s="481">
        <v>75</v>
      </c>
      <c r="J46" s="481" t="s">
        <v>185</v>
      </c>
    </row>
    <row r="47" spans="1:10" x14ac:dyDescent="0.2">
      <c r="A47" s="483"/>
      <c r="B47" s="480" t="s">
        <v>199</v>
      </c>
      <c r="C47" s="481">
        <v>70</v>
      </c>
      <c r="D47" s="481">
        <v>76</v>
      </c>
      <c r="E47" s="481">
        <f t="shared" si="0"/>
        <v>73</v>
      </c>
      <c r="F47" s="481" t="s">
        <v>185</v>
      </c>
      <c r="G47" s="481"/>
      <c r="H47" s="480" t="s">
        <v>202</v>
      </c>
      <c r="I47" s="481">
        <v>73</v>
      </c>
      <c r="J47" s="481" t="s">
        <v>185</v>
      </c>
    </row>
    <row r="48" spans="1:10" x14ac:dyDescent="0.2">
      <c r="A48" s="482"/>
      <c r="B48" s="480" t="s">
        <v>200</v>
      </c>
      <c r="C48" s="481">
        <v>70</v>
      </c>
      <c r="D48" s="481">
        <v>74</v>
      </c>
      <c r="E48" s="481">
        <f t="shared" si="0"/>
        <v>72</v>
      </c>
      <c r="F48" s="481" t="s">
        <v>185</v>
      </c>
      <c r="G48" s="481"/>
      <c r="H48" s="480" t="s">
        <v>203</v>
      </c>
      <c r="I48" s="481">
        <v>72</v>
      </c>
      <c r="J48" s="481" t="s">
        <v>185</v>
      </c>
    </row>
    <row r="49" spans="1:10" x14ac:dyDescent="0.2">
      <c r="A49" s="482"/>
      <c r="B49" s="480" t="s">
        <v>201</v>
      </c>
      <c r="C49" s="481">
        <v>73</v>
      </c>
      <c r="D49" s="481">
        <v>77</v>
      </c>
      <c r="E49" s="481">
        <f t="shared" si="0"/>
        <v>75</v>
      </c>
      <c r="F49" s="481" t="s">
        <v>185</v>
      </c>
      <c r="G49" s="481"/>
      <c r="H49" s="480" t="s">
        <v>204</v>
      </c>
      <c r="I49" s="481">
        <v>75</v>
      </c>
      <c r="J49" s="481" t="s">
        <v>155</v>
      </c>
    </row>
    <row r="50" spans="1:10" x14ac:dyDescent="0.2">
      <c r="A50" s="482"/>
      <c r="B50" s="480" t="s">
        <v>202</v>
      </c>
      <c r="C50" s="481">
        <v>72</v>
      </c>
      <c r="D50" s="481">
        <v>74</v>
      </c>
      <c r="E50" s="481">
        <f t="shared" si="0"/>
        <v>73</v>
      </c>
      <c r="F50" s="481" t="s">
        <v>185</v>
      </c>
      <c r="G50" s="481"/>
      <c r="H50" s="480" t="s">
        <v>205</v>
      </c>
      <c r="I50" s="481">
        <v>75</v>
      </c>
      <c r="J50" s="481" t="s">
        <v>155</v>
      </c>
    </row>
    <row r="51" spans="1:10" x14ac:dyDescent="0.2">
      <c r="A51" s="483"/>
      <c r="B51" s="480" t="s">
        <v>203</v>
      </c>
      <c r="C51" s="481">
        <v>70</v>
      </c>
      <c r="D51" s="481">
        <v>74</v>
      </c>
      <c r="E51" s="481">
        <f t="shared" si="0"/>
        <v>72</v>
      </c>
      <c r="F51" s="481" t="s">
        <v>185</v>
      </c>
      <c r="G51" s="481"/>
      <c r="H51" s="480" t="s">
        <v>206</v>
      </c>
      <c r="I51" s="481">
        <v>75</v>
      </c>
      <c r="J51" s="481" t="s">
        <v>185</v>
      </c>
    </row>
    <row r="52" spans="1:10" x14ac:dyDescent="0.2">
      <c r="A52" s="483"/>
      <c r="B52" s="480" t="s">
        <v>204</v>
      </c>
      <c r="C52" s="481">
        <v>73</v>
      </c>
      <c r="D52" s="481">
        <v>77</v>
      </c>
      <c r="E52" s="481">
        <f t="shared" si="0"/>
        <v>75</v>
      </c>
      <c r="F52" s="481" t="s">
        <v>155</v>
      </c>
      <c r="G52" s="481"/>
      <c r="H52" s="480" t="s">
        <v>207</v>
      </c>
      <c r="I52" s="481">
        <v>72</v>
      </c>
      <c r="J52" s="481" t="s">
        <v>185</v>
      </c>
    </row>
    <row r="53" spans="1:10" x14ac:dyDescent="0.2">
      <c r="A53" s="483"/>
      <c r="B53" s="480" t="s">
        <v>205</v>
      </c>
      <c r="C53" s="481">
        <v>73</v>
      </c>
      <c r="D53" s="481">
        <v>77</v>
      </c>
      <c r="E53" s="481">
        <f t="shared" si="0"/>
        <v>75</v>
      </c>
      <c r="F53" s="481" t="s">
        <v>155</v>
      </c>
      <c r="G53" s="481"/>
      <c r="H53" s="480" t="s">
        <v>208</v>
      </c>
      <c r="I53" s="481">
        <v>85</v>
      </c>
      <c r="J53" s="481" t="s">
        <v>157</v>
      </c>
    </row>
    <row r="54" spans="1:10" x14ac:dyDescent="0.2">
      <c r="A54" s="482"/>
      <c r="B54" s="480" t="s">
        <v>206</v>
      </c>
      <c r="C54" s="481">
        <v>73</v>
      </c>
      <c r="D54" s="481">
        <v>77</v>
      </c>
      <c r="E54" s="481">
        <f t="shared" si="0"/>
        <v>75</v>
      </c>
      <c r="F54" s="481" t="s">
        <v>185</v>
      </c>
      <c r="G54" s="481"/>
      <c r="H54" s="480" t="s">
        <v>209</v>
      </c>
      <c r="I54" s="481">
        <v>75</v>
      </c>
      <c r="J54" s="481" t="s">
        <v>157</v>
      </c>
    </row>
    <row r="55" spans="1:10" x14ac:dyDescent="0.2">
      <c r="A55" s="482"/>
      <c r="B55" s="480" t="s">
        <v>207</v>
      </c>
      <c r="C55" s="481">
        <v>70</v>
      </c>
      <c r="D55" s="481">
        <v>74</v>
      </c>
      <c r="E55" s="481">
        <f t="shared" si="0"/>
        <v>72</v>
      </c>
      <c r="F55" s="481" t="s">
        <v>185</v>
      </c>
      <c r="G55" s="481"/>
      <c r="H55" s="480" t="s">
        <v>210</v>
      </c>
      <c r="I55" s="481">
        <v>75</v>
      </c>
      <c r="J55" s="481" t="s">
        <v>157</v>
      </c>
    </row>
    <row r="56" spans="1:10" x14ac:dyDescent="0.2">
      <c r="A56" s="483"/>
      <c r="B56" s="480" t="s">
        <v>209</v>
      </c>
      <c r="C56" s="481">
        <v>73</v>
      </c>
      <c r="D56" s="481">
        <v>77</v>
      </c>
      <c r="E56" s="481">
        <f t="shared" si="0"/>
        <v>75</v>
      </c>
      <c r="F56" s="481" t="s">
        <v>157</v>
      </c>
      <c r="G56" s="481"/>
      <c r="H56" s="480" t="s">
        <v>211</v>
      </c>
      <c r="I56" s="481">
        <v>76</v>
      </c>
      <c r="J56" s="481" t="s">
        <v>157</v>
      </c>
    </row>
    <row r="57" spans="1:10" x14ac:dyDescent="0.2">
      <c r="A57" s="482"/>
      <c r="B57" s="480" t="s">
        <v>210</v>
      </c>
      <c r="C57" s="481">
        <v>73</v>
      </c>
      <c r="D57" s="481">
        <v>77</v>
      </c>
      <c r="E57" s="481">
        <f t="shared" si="0"/>
        <v>75</v>
      </c>
      <c r="F57" s="481" t="s">
        <v>157</v>
      </c>
      <c r="G57" s="481"/>
      <c r="H57" s="480" t="s">
        <v>212</v>
      </c>
      <c r="I57" s="481">
        <v>85</v>
      </c>
      <c r="J57" s="481" t="s">
        <v>157</v>
      </c>
    </row>
    <row r="58" spans="1:10" x14ac:dyDescent="0.2">
      <c r="A58" s="483"/>
      <c r="B58" s="480" t="s">
        <v>208</v>
      </c>
      <c r="C58" s="481">
        <v>80</v>
      </c>
      <c r="D58" s="481">
        <v>90</v>
      </c>
      <c r="E58" s="481">
        <f t="shared" si="0"/>
        <v>85</v>
      </c>
      <c r="F58" s="481" t="s">
        <v>157</v>
      </c>
      <c r="G58" s="481"/>
      <c r="H58" s="480" t="s">
        <v>213</v>
      </c>
      <c r="I58" s="481">
        <v>75</v>
      </c>
      <c r="J58" s="481" t="s">
        <v>157</v>
      </c>
    </row>
    <row r="59" spans="1:10" x14ac:dyDescent="0.2">
      <c r="A59" s="483"/>
      <c r="B59" s="480" t="s">
        <v>211</v>
      </c>
      <c r="C59" s="481">
        <v>75</v>
      </c>
      <c r="D59" s="481">
        <v>77</v>
      </c>
      <c r="E59" s="481">
        <f t="shared" si="0"/>
        <v>76</v>
      </c>
      <c r="F59" s="481" t="s">
        <v>157</v>
      </c>
      <c r="G59" s="481"/>
      <c r="H59" s="480" t="s">
        <v>214</v>
      </c>
      <c r="I59" s="481">
        <v>73</v>
      </c>
      <c r="J59" s="481" t="s">
        <v>157</v>
      </c>
    </row>
    <row r="60" spans="1:10" x14ac:dyDescent="0.2">
      <c r="A60" s="483"/>
      <c r="B60" s="480" t="s">
        <v>212</v>
      </c>
      <c r="C60" s="481">
        <v>80</v>
      </c>
      <c r="D60" s="481">
        <v>90</v>
      </c>
      <c r="E60" s="481">
        <f t="shared" si="0"/>
        <v>85</v>
      </c>
      <c r="F60" s="481" t="s">
        <v>157</v>
      </c>
      <c r="G60" s="481"/>
      <c r="H60" s="480" t="s">
        <v>215</v>
      </c>
      <c r="I60" s="481">
        <v>75</v>
      </c>
      <c r="J60" s="481" t="s">
        <v>157</v>
      </c>
    </row>
    <row r="61" spans="1:10" x14ac:dyDescent="0.2">
      <c r="A61" s="482"/>
      <c r="B61" s="480" t="s">
        <v>213</v>
      </c>
      <c r="C61" s="481">
        <v>70</v>
      </c>
      <c r="D61" s="481">
        <v>80</v>
      </c>
      <c r="E61" s="481">
        <f t="shared" si="0"/>
        <v>75</v>
      </c>
      <c r="F61" s="481" t="s">
        <v>157</v>
      </c>
      <c r="G61" s="481"/>
      <c r="H61" s="480" t="s">
        <v>216</v>
      </c>
      <c r="I61" s="481">
        <v>74</v>
      </c>
      <c r="J61" s="481" t="s">
        <v>157</v>
      </c>
    </row>
    <row r="62" spans="1:10" x14ac:dyDescent="0.2">
      <c r="A62" s="483"/>
      <c r="B62" s="480" t="s">
        <v>214</v>
      </c>
      <c r="C62" s="481">
        <v>70</v>
      </c>
      <c r="D62" s="481">
        <v>76</v>
      </c>
      <c r="E62" s="481">
        <f t="shared" si="0"/>
        <v>73</v>
      </c>
      <c r="F62" s="481" t="s">
        <v>157</v>
      </c>
      <c r="G62" s="481"/>
      <c r="H62" s="480" t="s">
        <v>217</v>
      </c>
      <c r="I62" s="481">
        <v>76.5</v>
      </c>
      <c r="J62" s="481" t="s">
        <v>157</v>
      </c>
    </row>
    <row r="63" spans="1:10" x14ac:dyDescent="0.2">
      <c r="A63" s="483"/>
      <c r="B63" s="480" t="s">
        <v>215</v>
      </c>
      <c r="C63" s="481">
        <v>73</v>
      </c>
      <c r="D63" s="481">
        <v>77</v>
      </c>
      <c r="E63" s="481">
        <f t="shared" si="0"/>
        <v>75</v>
      </c>
      <c r="F63" s="481" t="s">
        <v>157</v>
      </c>
      <c r="G63" s="481"/>
      <c r="H63" s="480" t="s">
        <v>218</v>
      </c>
      <c r="I63" s="481">
        <v>73</v>
      </c>
      <c r="J63" s="481" t="s">
        <v>157</v>
      </c>
    </row>
    <row r="64" spans="1:10" x14ac:dyDescent="0.2">
      <c r="A64" s="483"/>
      <c r="B64" s="480" t="s">
        <v>216</v>
      </c>
      <c r="C64" s="481">
        <v>72</v>
      </c>
      <c r="D64" s="481">
        <v>76</v>
      </c>
      <c r="E64" s="481">
        <f t="shared" si="0"/>
        <v>74</v>
      </c>
      <c r="F64" s="481" t="s">
        <v>157</v>
      </c>
      <c r="G64" s="481"/>
      <c r="H64" s="480" t="s">
        <v>219</v>
      </c>
      <c r="I64" s="481">
        <v>75</v>
      </c>
      <c r="J64" s="481" t="s">
        <v>157</v>
      </c>
    </row>
    <row r="65" spans="1:10" x14ac:dyDescent="0.2">
      <c r="A65" s="482"/>
      <c r="B65" s="480" t="s">
        <v>217</v>
      </c>
      <c r="C65" s="481">
        <v>75</v>
      </c>
      <c r="D65" s="481">
        <v>78</v>
      </c>
      <c r="E65" s="481">
        <f t="shared" si="0"/>
        <v>76.5</v>
      </c>
      <c r="F65" s="481" t="s">
        <v>157</v>
      </c>
      <c r="G65" s="481"/>
      <c r="H65" s="480" t="s">
        <v>220</v>
      </c>
      <c r="I65" s="481">
        <v>80</v>
      </c>
      <c r="J65" s="481" t="s">
        <v>157</v>
      </c>
    </row>
    <row r="66" spans="1:10" x14ac:dyDescent="0.2">
      <c r="A66" s="483"/>
      <c r="B66" s="480" t="s">
        <v>218</v>
      </c>
      <c r="C66" s="481">
        <v>70</v>
      </c>
      <c r="D66" s="481">
        <v>76</v>
      </c>
      <c r="E66" s="481">
        <f t="shared" si="0"/>
        <v>73</v>
      </c>
      <c r="F66" s="481" t="s">
        <v>157</v>
      </c>
      <c r="G66" s="481"/>
      <c r="H66" s="480" t="s">
        <v>221</v>
      </c>
      <c r="I66" s="481">
        <v>78</v>
      </c>
      <c r="J66" s="481" t="s">
        <v>157</v>
      </c>
    </row>
    <row r="67" spans="1:10" x14ac:dyDescent="0.2">
      <c r="A67" s="483"/>
      <c r="B67" s="480" t="s">
        <v>219</v>
      </c>
      <c r="C67" s="481">
        <v>73</v>
      </c>
      <c r="D67" s="481">
        <v>77</v>
      </c>
      <c r="E67" s="481">
        <f t="shared" si="0"/>
        <v>75</v>
      </c>
      <c r="F67" s="481" t="s">
        <v>157</v>
      </c>
      <c r="G67" s="481"/>
      <c r="H67" s="480" t="s">
        <v>222</v>
      </c>
      <c r="I67" s="481">
        <v>76.5</v>
      </c>
      <c r="J67" s="481" t="s">
        <v>157</v>
      </c>
    </row>
    <row r="68" spans="1:10" x14ac:dyDescent="0.2">
      <c r="A68" s="483"/>
      <c r="B68" s="480" t="s">
        <v>220</v>
      </c>
      <c r="C68" s="481">
        <v>77</v>
      </c>
      <c r="D68" s="481">
        <v>83</v>
      </c>
      <c r="E68" s="481">
        <f t="shared" ref="E68:E132" si="1">AVERAGE(C68:D68)</f>
        <v>80</v>
      </c>
      <c r="F68" s="481" t="s">
        <v>157</v>
      </c>
      <c r="G68" s="481"/>
      <c r="H68" s="480" t="s">
        <v>223</v>
      </c>
      <c r="I68" s="481">
        <v>78.5</v>
      </c>
      <c r="J68" s="481" t="s">
        <v>157</v>
      </c>
    </row>
    <row r="69" spans="1:10" x14ac:dyDescent="0.2">
      <c r="A69" s="482"/>
      <c r="B69" s="480" t="s">
        <v>221</v>
      </c>
      <c r="C69" s="481">
        <v>76</v>
      </c>
      <c r="D69" s="481">
        <v>80</v>
      </c>
      <c r="E69" s="481">
        <f t="shared" si="1"/>
        <v>78</v>
      </c>
      <c r="F69" s="481" t="s">
        <v>157</v>
      </c>
      <c r="G69" s="481"/>
      <c r="H69" s="480" t="s">
        <v>224</v>
      </c>
      <c r="I69" s="481">
        <v>76</v>
      </c>
      <c r="J69" s="481" t="s">
        <v>157</v>
      </c>
    </row>
    <row r="70" spans="1:10" x14ac:dyDescent="0.2">
      <c r="A70" s="482"/>
      <c r="B70" s="480" t="s">
        <v>222</v>
      </c>
      <c r="C70" s="481">
        <v>74</v>
      </c>
      <c r="D70" s="481">
        <v>79</v>
      </c>
      <c r="E70" s="481">
        <f t="shared" si="1"/>
        <v>76.5</v>
      </c>
      <c r="F70" s="481" t="s">
        <v>157</v>
      </c>
      <c r="G70" s="481"/>
      <c r="H70" s="480" t="s">
        <v>225</v>
      </c>
      <c r="I70" s="481">
        <v>82.5</v>
      </c>
      <c r="J70" s="481" t="s">
        <v>157</v>
      </c>
    </row>
    <row r="71" spans="1:10" x14ac:dyDescent="0.2">
      <c r="A71" s="482"/>
      <c r="B71" s="480" t="s">
        <v>223</v>
      </c>
      <c r="C71" s="481">
        <v>76</v>
      </c>
      <c r="D71" s="481">
        <v>81</v>
      </c>
      <c r="E71" s="481">
        <f t="shared" si="1"/>
        <v>78.5</v>
      </c>
      <c r="F71" s="481" t="s">
        <v>157</v>
      </c>
      <c r="G71" s="481"/>
      <c r="H71" s="1" t="s">
        <v>226</v>
      </c>
      <c r="I71" s="481">
        <v>77.5</v>
      </c>
      <c r="J71" s="481" t="s">
        <v>157</v>
      </c>
    </row>
    <row r="72" spans="1:10" x14ac:dyDescent="0.2">
      <c r="A72" s="482"/>
      <c r="B72" s="480" t="s">
        <v>224</v>
      </c>
      <c r="C72" s="481">
        <v>74</v>
      </c>
      <c r="D72" s="481">
        <v>78</v>
      </c>
      <c r="E72" s="481">
        <f t="shared" si="1"/>
        <v>76</v>
      </c>
      <c r="F72" s="481" t="s">
        <v>157</v>
      </c>
      <c r="G72" s="481"/>
      <c r="H72" s="480" t="s">
        <v>227</v>
      </c>
      <c r="I72" s="481">
        <v>77.5</v>
      </c>
      <c r="J72" s="481" t="s">
        <v>157</v>
      </c>
    </row>
    <row r="73" spans="1:10" x14ac:dyDescent="0.2">
      <c r="A73" s="482"/>
      <c r="B73" s="480" t="s">
        <v>225</v>
      </c>
      <c r="C73" s="481">
        <v>80</v>
      </c>
      <c r="D73" s="481">
        <v>85</v>
      </c>
      <c r="E73" s="481">
        <f t="shared" si="1"/>
        <v>82.5</v>
      </c>
      <c r="F73" s="481" t="s">
        <v>157</v>
      </c>
      <c r="G73" s="481"/>
      <c r="H73" s="480" t="s">
        <v>228</v>
      </c>
      <c r="I73" s="481">
        <v>76.5</v>
      </c>
      <c r="J73" s="481" t="s">
        <v>157</v>
      </c>
    </row>
    <row r="74" spans="1:10" x14ac:dyDescent="0.2">
      <c r="A74" s="482"/>
      <c r="B74" s="480" t="s">
        <v>226</v>
      </c>
      <c r="C74" s="481">
        <v>75</v>
      </c>
      <c r="D74" s="481">
        <v>80</v>
      </c>
      <c r="E74" s="481">
        <f t="shared" si="1"/>
        <v>77.5</v>
      </c>
      <c r="F74" s="481" t="s">
        <v>157</v>
      </c>
      <c r="G74" s="481"/>
      <c r="H74" s="480" t="s">
        <v>229</v>
      </c>
      <c r="I74" s="481">
        <v>77</v>
      </c>
      <c r="J74" s="481" t="s">
        <v>157</v>
      </c>
    </row>
    <row r="75" spans="1:10" x14ac:dyDescent="0.2">
      <c r="A75" s="482"/>
      <c r="B75" s="480" t="s">
        <v>227</v>
      </c>
      <c r="C75" s="481">
        <v>75</v>
      </c>
      <c r="D75" s="481">
        <v>80</v>
      </c>
      <c r="E75" s="481">
        <f t="shared" si="1"/>
        <v>77.5</v>
      </c>
      <c r="F75" s="481" t="s">
        <v>157</v>
      </c>
      <c r="G75" s="481"/>
      <c r="H75" s="480" t="s">
        <v>230</v>
      </c>
      <c r="I75" s="481">
        <v>74</v>
      </c>
      <c r="J75" s="481" t="s">
        <v>157</v>
      </c>
    </row>
    <row r="76" spans="1:10" x14ac:dyDescent="0.2">
      <c r="A76" s="482"/>
      <c r="B76" s="480" t="s">
        <v>228</v>
      </c>
      <c r="C76" s="481">
        <v>74</v>
      </c>
      <c r="D76" s="481">
        <v>79</v>
      </c>
      <c r="E76" s="481">
        <f t="shared" si="1"/>
        <v>76.5</v>
      </c>
      <c r="F76" s="481" t="s">
        <v>157</v>
      </c>
      <c r="G76" s="481"/>
      <c r="H76" s="480" t="s">
        <v>231</v>
      </c>
      <c r="I76" s="481">
        <v>74</v>
      </c>
      <c r="J76" s="481" t="s">
        <v>157</v>
      </c>
    </row>
    <row r="77" spans="1:10" x14ac:dyDescent="0.2">
      <c r="A77" s="482"/>
      <c r="B77" s="1" t="s">
        <v>229</v>
      </c>
      <c r="C77" s="481">
        <v>75</v>
      </c>
      <c r="D77" s="481">
        <v>79</v>
      </c>
      <c r="E77" s="481">
        <f t="shared" si="1"/>
        <v>77</v>
      </c>
      <c r="F77" s="481" t="s">
        <v>157</v>
      </c>
      <c r="H77" s="480" t="s">
        <v>232</v>
      </c>
      <c r="I77" s="481">
        <v>80</v>
      </c>
      <c r="J77" s="481" t="s">
        <v>157</v>
      </c>
    </row>
    <row r="78" spans="1:10" x14ac:dyDescent="0.2">
      <c r="A78" s="482"/>
      <c r="B78" s="480" t="s">
        <v>230</v>
      </c>
      <c r="C78" s="481">
        <v>72</v>
      </c>
      <c r="D78" s="481">
        <v>76</v>
      </c>
      <c r="E78" s="481">
        <f t="shared" si="1"/>
        <v>74</v>
      </c>
      <c r="F78" s="481" t="s">
        <v>157</v>
      </c>
      <c r="G78" s="481"/>
      <c r="H78" s="480" t="s">
        <v>233</v>
      </c>
      <c r="I78" s="481">
        <v>80</v>
      </c>
      <c r="J78" s="481" t="s">
        <v>157</v>
      </c>
    </row>
    <row r="79" spans="1:10" x14ac:dyDescent="0.2">
      <c r="A79" s="482"/>
      <c r="B79" s="480" t="s">
        <v>231</v>
      </c>
      <c r="C79" s="481">
        <v>72</v>
      </c>
      <c r="D79" s="481">
        <v>76</v>
      </c>
      <c r="E79" s="481">
        <f t="shared" si="1"/>
        <v>74</v>
      </c>
      <c r="F79" s="481" t="s">
        <v>157</v>
      </c>
      <c r="G79" s="481"/>
      <c r="H79" s="480" t="s">
        <v>234</v>
      </c>
      <c r="I79" s="481"/>
      <c r="J79" s="481" t="s">
        <v>157</v>
      </c>
    </row>
    <row r="80" spans="1:10" x14ac:dyDescent="0.2">
      <c r="B80" s="480" t="s">
        <v>232</v>
      </c>
      <c r="C80" s="481">
        <v>80</v>
      </c>
      <c r="D80" s="481">
        <v>80</v>
      </c>
      <c r="E80" s="481">
        <f t="shared" si="1"/>
        <v>80</v>
      </c>
      <c r="F80" s="481" t="s">
        <v>157</v>
      </c>
      <c r="G80" s="481"/>
      <c r="H80" s="480" t="s">
        <v>235</v>
      </c>
      <c r="I80" s="481"/>
      <c r="J80" s="481" t="s">
        <v>157</v>
      </c>
    </row>
    <row r="81" spans="2:10" x14ac:dyDescent="0.2">
      <c r="B81" s="480" t="s">
        <v>233</v>
      </c>
      <c r="C81" s="481">
        <v>80</v>
      </c>
      <c r="D81" s="481">
        <v>80</v>
      </c>
      <c r="E81" s="481">
        <f t="shared" si="1"/>
        <v>80</v>
      </c>
      <c r="F81" s="481" t="s">
        <v>157</v>
      </c>
      <c r="G81" s="481"/>
      <c r="H81" s="1" t="s">
        <v>236</v>
      </c>
      <c r="I81" s="1">
        <v>80</v>
      </c>
      <c r="J81" s="481" t="s">
        <v>157</v>
      </c>
    </row>
    <row r="82" spans="2:10" x14ac:dyDescent="0.2">
      <c r="B82" s="480" t="s">
        <v>234</v>
      </c>
      <c r="F82" s="481" t="s">
        <v>157</v>
      </c>
      <c r="G82" s="481"/>
      <c r="H82" s="480" t="s">
        <v>186</v>
      </c>
      <c r="I82" s="481">
        <v>77.5</v>
      </c>
      <c r="J82" s="481" t="s">
        <v>157</v>
      </c>
    </row>
    <row r="83" spans="2:10" x14ac:dyDescent="0.2">
      <c r="B83" s="480" t="s">
        <v>235</v>
      </c>
      <c r="F83" s="481" t="s">
        <v>157</v>
      </c>
      <c r="G83" s="481"/>
      <c r="H83" s="480" t="s">
        <v>188</v>
      </c>
      <c r="I83" s="481">
        <v>77.5</v>
      </c>
      <c r="J83" s="481" t="s">
        <v>157</v>
      </c>
    </row>
    <row r="84" spans="2:10" x14ac:dyDescent="0.2">
      <c r="B84" s="480" t="s">
        <v>236</v>
      </c>
      <c r="C84" s="481">
        <v>80</v>
      </c>
      <c r="D84" s="481">
        <v>80</v>
      </c>
      <c r="E84" s="481">
        <f t="shared" si="1"/>
        <v>80</v>
      </c>
      <c r="F84" s="481" t="s">
        <v>157</v>
      </c>
      <c r="G84" s="481"/>
      <c r="H84" s="480" t="s">
        <v>237</v>
      </c>
      <c r="I84" s="1">
        <v>74</v>
      </c>
      <c r="J84" s="481" t="s">
        <v>157</v>
      </c>
    </row>
    <row r="85" spans="2:10" x14ac:dyDescent="0.2">
      <c r="B85" s="480" t="s">
        <v>238</v>
      </c>
      <c r="C85" s="481">
        <v>80</v>
      </c>
      <c r="D85" s="481">
        <v>80</v>
      </c>
      <c r="E85" s="481">
        <f t="shared" si="1"/>
        <v>80</v>
      </c>
      <c r="F85" s="481" t="s">
        <v>157</v>
      </c>
      <c r="G85" s="481"/>
      <c r="H85" s="480" t="s">
        <v>239</v>
      </c>
      <c r="I85" s="1">
        <v>73.5</v>
      </c>
      <c r="J85" s="481" t="s">
        <v>157</v>
      </c>
    </row>
    <row r="86" spans="2:10" x14ac:dyDescent="0.2">
      <c r="B86" s="480"/>
      <c r="F86" s="481"/>
      <c r="G86" s="481"/>
      <c r="H86" s="480" t="s">
        <v>240</v>
      </c>
      <c r="I86" s="1">
        <v>70</v>
      </c>
      <c r="J86" s="481" t="s">
        <v>157</v>
      </c>
    </row>
    <row r="87" spans="2:10" x14ac:dyDescent="0.2">
      <c r="B87" s="480" t="s">
        <v>241</v>
      </c>
      <c r="F87" s="481"/>
      <c r="G87" s="481"/>
      <c r="H87" s="480" t="s">
        <v>242</v>
      </c>
      <c r="I87" s="1">
        <v>75</v>
      </c>
      <c r="J87" s="481" t="s">
        <v>157</v>
      </c>
    </row>
    <row r="88" spans="2:10" x14ac:dyDescent="0.2">
      <c r="B88" s="480" t="s">
        <v>243</v>
      </c>
      <c r="C88" s="481">
        <v>73</v>
      </c>
      <c r="D88" s="481">
        <v>80</v>
      </c>
      <c r="E88" s="481">
        <f t="shared" si="1"/>
        <v>76.5</v>
      </c>
      <c r="F88" s="481" t="s">
        <v>157</v>
      </c>
      <c r="G88" s="481"/>
      <c r="H88" s="480" t="s">
        <v>244</v>
      </c>
      <c r="I88" s="1">
        <v>71.5</v>
      </c>
      <c r="J88" s="481" t="s">
        <v>157</v>
      </c>
    </row>
    <row r="89" spans="2:10" x14ac:dyDescent="0.2">
      <c r="B89" s="480" t="s">
        <v>245</v>
      </c>
      <c r="C89" s="481">
        <v>63</v>
      </c>
      <c r="D89" s="481">
        <v>70</v>
      </c>
      <c r="E89" s="481">
        <f t="shared" si="1"/>
        <v>66.5</v>
      </c>
      <c r="F89" s="481" t="s">
        <v>157</v>
      </c>
      <c r="G89" s="481"/>
      <c r="H89" s="480" t="s">
        <v>246</v>
      </c>
      <c r="I89" s="1">
        <v>73</v>
      </c>
      <c r="J89" s="481" t="s">
        <v>157</v>
      </c>
    </row>
    <row r="90" spans="2:10" x14ac:dyDescent="0.2">
      <c r="B90" s="480" t="s">
        <v>247</v>
      </c>
      <c r="C90" s="481">
        <v>73</v>
      </c>
      <c r="D90" s="481">
        <v>80</v>
      </c>
      <c r="E90" s="481">
        <f t="shared" si="1"/>
        <v>76.5</v>
      </c>
      <c r="F90" s="481" t="s">
        <v>155</v>
      </c>
      <c r="G90" s="481"/>
      <c r="H90" s="480" t="s">
        <v>248</v>
      </c>
      <c r="I90" s="1">
        <v>74</v>
      </c>
      <c r="J90" s="481" t="s">
        <v>157</v>
      </c>
    </row>
    <row r="91" spans="2:10" x14ac:dyDescent="0.2">
      <c r="B91" s="480" t="s">
        <v>249</v>
      </c>
      <c r="C91" s="481">
        <v>69</v>
      </c>
      <c r="D91" s="481">
        <v>74</v>
      </c>
      <c r="E91" s="481">
        <f t="shared" si="1"/>
        <v>71.5</v>
      </c>
      <c r="F91" s="481" t="s">
        <v>157</v>
      </c>
      <c r="G91" s="481"/>
      <c r="H91" s="480" t="s">
        <v>250</v>
      </c>
      <c r="I91" s="1">
        <v>75</v>
      </c>
      <c r="J91" s="481" t="s">
        <v>157</v>
      </c>
    </row>
    <row r="92" spans="2:10" x14ac:dyDescent="0.2">
      <c r="B92" s="480" t="s">
        <v>251</v>
      </c>
      <c r="C92" s="481">
        <v>67</v>
      </c>
      <c r="D92" s="481">
        <v>74</v>
      </c>
      <c r="E92" s="481">
        <f t="shared" si="1"/>
        <v>70.5</v>
      </c>
      <c r="F92" s="481" t="s">
        <v>157</v>
      </c>
      <c r="G92" s="481"/>
      <c r="H92" s="480" t="s">
        <v>252</v>
      </c>
      <c r="I92" s="1">
        <v>76</v>
      </c>
      <c r="J92" s="481" t="s">
        <v>157</v>
      </c>
    </row>
    <row r="93" spans="2:10" x14ac:dyDescent="0.2">
      <c r="B93" s="480" t="s">
        <v>253</v>
      </c>
      <c r="C93" s="481">
        <v>72</v>
      </c>
      <c r="D93" s="481">
        <v>80</v>
      </c>
      <c r="E93" s="481">
        <f t="shared" si="1"/>
        <v>76</v>
      </c>
      <c r="F93" s="481" t="s">
        <v>157</v>
      </c>
      <c r="G93" s="481"/>
      <c r="H93" s="480" t="s">
        <v>254</v>
      </c>
      <c r="I93" s="1">
        <v>76</v>
      </c>
      <c r="J93" s="481" t="s">
        <v>157</v>
      </c>
    </row>
    <row r="94" spans="2:10" x14ac:dyDescent="0.2">
      <c r="B94" s="480" t="s">
        <v>255</v>
      </c>
      <c r="C94" s="481">
        <v>70</v>
      </c>
      <c r="D94" s="481">
        <v>80</v>
      </c>
      <c r="E94" s="481">
        <f t="shared" si="1"/>
        <v>75</v>
      </c>
      <c r="F94" s="481" t="s">
        <v>157</v>
      </c>
      <c r="G94" s="481"/>
      <c r="H94" s="480" t="s">
        <v>256</v>
      </c>
      <c r="I94" s="1">
        <v>66.5</v>
      </c>
      <c r="J94" s="481" t="s">
        <v>157</v>
      </c>
    </row>
    <row r="95" spans="2:10" x14ac:dyDescent="0.2">
      <c r="B95" s="480" t="s">
        <v>257</v>
      </c>
      <c r="C95" s="481">
        <v>70</v>
      </c>
      <c r="D95" s="481">
        <v>75</v>
      </c>
      <c r="E95" s="481">
        <f t="shared" si="1"/>
        <v>72.5</v>
      </c>
      <c r="F95" s="481" t="s">
        <v>157</v>
      </c>
      <c r="G95" s="481"/>
      <c r="H95" s="480" t="s">
        <v>258</v>
      </c>
      <c r="I95" s="1">
        <v>72.5</v>
      </c>
      <c r="J95" s="481" t="s">
        <v>157</v>
      </c>
    </row>
    <row r="96" spans="2:10" x14ac:dyDescent="0.2">
      <c r="B96" s="480" t="s">
        <v>259</v>
      </c>
      <c r="C96" s="481">
        <v>70</v>
      </c>
      <c r="D96" s="481">
        <v>75</v>
      </c>
      <c r="E96" s="481">
        <f t="shared" si="1"/>
        <v>72.5</v>
      </c>
      <c r="F96" s="481" t="s">
        <v>157</v>
      </c>
      <c r="G96" s="481"/>
      <c r="H96" s="480" t="s">
        <v>260</v>
      </c>
      <c r="I96" s="1">
        <v>75</v>
      </c>
      <c r="J96" s="481" t="s">
        <v>157</v>
      </c>
    </row>
    <row r="97" spans="2:10" x14ac:dyDescent="0.2">
      <c r="B97" s="480" t="s">
        <v>261</v>
      </c>
      <c r="E97" s="481">
        <v>75</v>
      </c>
      <c r="F97" s="481" t="s">
        <v>157</v>
      </c>
      <c r="G97" s="481"/>
      <c r="H97" s="480" t="s">
        <v>262</v>
      </c>
      <c r="I97" s="1">
        <v>80</v>
      </c>
      <c r="J97" s="481" t="s">
        <v>157</v>
      </c>
    </row>
    <row r="98" spans="2:10" x14ac:dyDescent="0.2">
      <c r="B98" s="480" t="s">
        <v>263</v>
      </c>
      <c r="C98" s="481">
        <v>65</v>
      </c>
      <c r="D98" s="481">
        <v>70</v>
      </c>
      <c r="E98" s="481">
        <f t="shared" si="1"/>
        <v>67.5</v>
      </c>
      <c r="F98" s="481" t="s">
        <v>157</v>
      </c>
      <c r="G98" s="481"/>
      <c r="H98" s="480" t="s">
        <v>264</v>
      </c>
      <c r="I98" s="1">
        <v>74</v>
      </c>
      <c r="J98" s="481" t="s">
        <v>157</v>
      </c>
    </row>
    <row r="99" spans="2:10" x14ac:dyDescent="0.2">
      <c r="B99" s="480" t="s">
        <v>265</v>
      </c>
      <c r="C99" s="481">
        <v>67</v>
      </c>
      <c r="D99" s="481">
        <v>75</v>
      </c>
      <c r="E99" s="481">
        <f t="shared" si="1"/>
        <v>71</v>
      </c>
      <c r="F99" s="481" t="s">
        <v>157</v>
      </c>
      <c r="G99" s="481"/>
      <c r="H99" s="480" t="s">
        <v>266</v>
      </c>
      <c r="I99" s="1">
        <v>80</v>
      </c>
      <c r="J99" s="481" t="s">
        <v>157</v>
      </c>
    </row>
    <row r="100" spans="2:10" x14ac:dyDescent="0.2">
      <c r="B100" s="480" t="s">
        <v>267</v>
      </c>
      <c r="C100" s="481">
        <v>67</v>
      </c>
      <c r="D100" s="481">
        <v>73</v>
      </c>
      <c r="E100" s="481">
        <f t="shared" si="1"/>
        <v>70</v>
      </c>
      <c r="F100" s="481" t="s">
        <v>157</v>
      </c>
      <c r="G100" s="481"/>
      <c r="H100" s="480" t="s">
        <v>268</v>
      </c>
      <c r="I100" s="1">
        <v>80</v>
      </c>
      <c r="J100" s="481" t="s">
        <v>157</v>
      </c>
    </row>
    <row r="101" spans="2:10" x14ac:dyDescent="0.2">
      <c r="B101" s="480" t="s">
        <v>269</v>
      </c>
      <c r="E101" s="481">
        <v>75</v>
      </c>
      <c r="F101" s="481" t="s">
        <v>157</v>
      </c>
      <c r="G101" s="481"/>
      <c r="H101" s="480" t="s">
        <v>270</v>
      </c>
      <c r="I101" s="1">
        <v>80</v>
      </c>
      <c r="J101" s="481" t="s">
        <v>157</v>
      </c>
    </row>
    <row r="102" spans="2:10" x14ac:dyDescent="0.2">
      <c r="B102" s="480" t="s">
        <v>271</v>
      </c>
      <c r="C102" s="481">
        <v>71</v>
      </c>
      <c r="D102" s="481">
        <v>76</v>
      </c>
      <c r="E102" s="481">
        <f t="shared" si="1"/>
        <v>73.5</v>
      </c>
      <c r="F102" s="481" t="s">
        <v>157</v>
      </c>
      <c r="G102" s="481"/>
      <c r="H102" s="1" t="s">
        <v>272</v>
      </c>
      <c r="I102" s="1">
        <v>75</v>
      </c>
      <c r="J102" s="481" t="s">
        <v>157</v>
      </c>
    </row>
    <row r="103" spans="2:10" x14ac:dyDescent="0.2">
      <c r="B103" s="480" t="s">
        <v>273</v>
      </c>
      <c r="C103" s="481">
        <v>69</v>
      </c>
      <c r="D103" s="481">
        <v>75</v>
      </c>
      <c r="E103" s="481">
        <f t="shared" si="1"/>
        <v>72</v>
      </c>
      <c r="F103" s="481" t="s">
        <v>157</v>
      </c>
      <c r="G103" s="481"/>
      <c r="H103" s="1" t="s">
        <v>274</v>
      </c>
      <c r="I103" s="1">
        <v>92.5</v>
      </c>
      <c r="J103" s="481" t="s">
        <v>157</v>
      </c>
    </row>
    <row r="104" spans="2:10" x14ac:dyDescent="0.2">
      <c r="B104" s="480" t="s">
        <v>275</v>
      </c>
      <c r="C104" s="481">
        <v>68</v>
      </c>
      <c r="D104" s="481">
        <v>75</v>
      </c>
      <c r="E104" s="481">
        <f t="shared" si="1"/>
        <v>71.5</v>
      </c>
      <c r="F104" s="481" t="s">
        <v>157</v>
      </c>
      <c r="G104" s="481"/>
      <c r="H104" s="1" t="s">
        <v>276</v>
      </c>
      <c r="I104" s="1">
        <v>84</v>
      </c>
      <c r="J104" s="481" t="s">
        <v>157</v>
      </c>
    </row>
    <row r="105" spans="2:10" x14ac:dyDescent="0.2">
      <c r="B105" s="480" t="s">
        <v>277</v>
      </c>
      <c r="C105" s="481">
        <v>70</v>
      </c>
      <c r="D105" s="481">
        <v>75</v>
      </c>
      <c r="E105" s="481">
        <f t="shared" si="1"/>
        <v>72.5</v>
      </c>
      <c r="F105" s="481" t="s">
        <v>157</v>
      </c>
      <c r="G105" s="481"/>
      <c r="H105" s="480" t="s">
        <v>278</v>
      </c>
      <c r="I105" s="1">
        <v>74</v>
      </c>
      <c r="J105" s="481" t="s">
        <v>157</v>
      </c>
    </row>
    <row r="106" spans="2:10" x14ac:dyDescent="0.2">
      <c r="B106" s="480" t="s">
        <v>279</v>
      </c>
      <c r="C106" s="481">
        <v>70</v>
      </c>
      <c r="D106" s="481">
        <v>75</v>
      </c>
      <c r="E106" s="481">
        <f t="shared" si="1"/>
        <v>72.5</v>
      </c>
      <c r="F106" s="481" t="s">
        <v>157</v>
      </c>
      <c r="G106" s="481"/>
      <c r="H106" s="480" t="s">
        <v>280</v>
      </c>
      <c r="I106" s="1">
        <v>74</v>
      </c>
      <c r="J106" s="481" t="s">
        <v>157</v>
      </c>
    </row>
    <row r="107" spans="2:10" x14ac:dyDescent="0.2">
      <c r="B107" s="480" t="s">
        <v>281</v>
      </c>
      <c r="C107" s="481">
        <v>72</v>
      </c>
      <c r="D107" s="481">
        <v>78</v>
      </c>
      <c r="E107" s="481">
        <f t="shared" si="1"/>
        <v>75</v>
      </c>
      <c r="F107" s="481" t="s">
        <v>155</v>
      </c>
      <c r="G107" s="481"/>
      <c r="H107" s="480" t="s">
        <v>282</v>
      </c>
      <c r="I107" s="1">
        <v>76</v>
      </c>
      <c r="J107" s="481" t="s">
        <v>157</v>
      </c>
    </row>
    <row r="108" spans="2:10" x14ac:dyDescent="0.2">
      <c r="B108" s="480" t="s">
        <v>283</v>
      </c>
      <c r="C108" s="481">
        <v>72</v>
      </c>
      <c r="D108" s="481">
        <v>78</v>
      </c>
      <c r="E108" s="481">
        <f t="shared" si="1"/>
        <v>75</v>
      </c>
      <c r="F108" s="481" t="s">
        <v>157</v>
      </c>
      <c r="G108" s="481"/>
      <c r="H108" s="480" t="s">
        <v>284</v>
      </c>
      <c r="I108" s="1">
        <v>74.5</v>
      </c>
      <c r="J108" s="481" t="s">
        <v>157</v>
      </c>
    </row>
    <row r="109" spans="2:10" x14ac:dyDescent="0.2">
      <c r="B109" s="480" t="s">
        <v>285</v>
      </c>
      <c r="C109" s="481">
        <v>66</v>
      </c>
      <c r="D109" s="481">
        <v>74</v>
      </c>
      <c r="E109" s="481">
        <f t="shared" si="1"/>
        <v>70</v>
      </c>
      <c r="F109" s="481" t="s">
        <v>157</v>
      </c>
      <c r="G109" s="481"/>
      <c r="H109" s="480" t="s">
        <v>286</v>
      </c>
      <c r="I109" s="1">
        <v>76</v>
      </c>
      <c r="J109" s="481" t="s">
        <v>157</v>
      </c>
    </row>
    <row r="110" spans="2:10" x14ac:dyDescent="0.2">
      <c r="B110" s="480" t="s">
        <v>287</v>
      </c>
      <c r="C110" s="481">
        <v>65</v>
      </c>
      <c r="D110" s="481">
        <v>72</v>
      </c>
      <c r="E110" s="481">
        <f t="shared" si="1"/>
        <v>68.5</v>
      </c>
      <c r="F110" s="481" t="s">
        <v>155</v>
      </c>
      <c r="G110" s="481"/>
      <c r="H110" s="480" t="s">
        <v>288</v>
      </c>
      <c r="I110" s="1">
        <v>74</v>
      </c>
      <c r="J110" s="481" t="s">
        <v>157</v>
      </c>
    </row>
    <row r="111" spans="2:10" x14ac:dyDescent="0.2">
      <c r="B111" s="480" t="s">
        <v>289</v>
      </c>
      <c r="C111" s="481">
        <v>70</v>
      </c>
      <c r="D111" s="481">
        <v>74</v>
      </c>
      <c r="E111" s="481">
        <f t="shared" si="1"/>
        <v>72</v>
      </c>
      <c r="F111" s="481" t="s">
        <v>157</v>
      </c>
      <c r="G111" s="481"/>
      <c r="H111" s="480" t="s">
        <v>290</v>
      </c>
      <c r="I111" s="1">
        <v>76</v>
      </c>
      <c r="J111" s="481" t="s">
        <v>157</v>
      </c>
    </row>
    <row r="112" spans="2:10" x14ac:dyDescent="0.2">
      <c r="B112" s="480" t="s">
        <v>291</v>
      </c>
      <c r="C112" s="481">
        <v>73</v>
      </c>
      <c r="D112" s="481">
        <v>82</v>
      </c>
      <c r="E112" s="481">
        <f t="shared" si="1"/>
        <v>77.5</v>
      </c>
      <c r="F112" s="481" t="s">
        <v>157</v>
      </c>
      <c r="G112" s="481"/>
      <c r="H112" s="480" t="s">
        <v>292</v>
      </c>
      <c r="I112" s="1">
        <v>80</v>
      </c>
      <c r="J112" s="481" t="s">
        <v>157</v>
      </c>
    </row>
    <row r="113" spans="2:10" x14ac:dyDescent="0.2">
      <c r="B113" s="480" t="s">
        <v>293</v>
      </c>
      <c r="C113" s="481">
        <v>73</v>
      </c>
      <c r="D113" s="481">
        <v>82</v>
      </c>
      <c r="E113" s="481">
        <f t="shared" si="1"/>
        <v>77.5</v>
      </c>
      <c r="F113" s="481" t="s">
        <v>157</v>
      </c>
      <c r="G113" s="481"/>
      <c r="H113" s="480" t="s">
        <v>294</v>
      </c>
      <c r="I113" s="1">
        <v>77.5</v>
      </c>
      <c r="J113" s="481" t="s">
        <v>157</v>
      </c>
    </row>
    <row r="114" spans="2:10" x14ac:dyDescent="0.2">
      <c r="B114" s="480" t="s">
        <v>295</v>
      </c>
      <c r="C114" s="481">
        <v>65</v>
      </c>
      <c r="D114" s="481">
        <v>70</v>
      </c>
      <c r="E114" s="481">
        <f t="shared" si="1"/>
        <v>67.5</v>
      </c>
      <c r="F114" s="481" t="s">
        <v>157</v>
      </c>
      <c r="G114" s="481"/>
      <c r="H114" s="480" t="s">
        <v>296</v>
      </c>
      <c r="I114" s="1">
        <v>77</v>
      </c>
      <c r="J114" s="481" t="s">
        <v>157</v>
      </c>
    </row>
    <row r="115" spans="2:10" x14ac:dyDescent="0.2">
      <c r="B115" s="480" t="s">
        <v>297</v>
      </c>
      <c r="C115" s="481">
        <v>70</v>
      </c>
      <c r="D115" s="481">
        <v>75</v>
      </c>
      <c r="E115" s="481">
        <f t="shared" si="1"/>
        <v>72.5</v>
      </c>
      <c r="F115" s="481" t="s">
        <v>157</v>
      </c>
      <c r="G115" s="481"/>
      <c r="H115" s="1" t="s">
        <v>298</v>
      </c>
      <c r="I115" s="1">
        <v>83.5</v>
      </c>
      <c r="J115" s="481" t="s">
        <v>157</v>
      </c>
    </row>
    <row r="116" spans="2:10" x14ac:dyDescent="0.2">
      <c r="B116" s="480" t="s">
        <v>299</v>
      </c>
      <c r="C116" s="481">
        <v>74</v>
      </c>
      <c r="D116" s="481">
        <v>78</v>
      </c>
      <c r="E116" s="481">
        <f t="shared" si="1"/>
        <v>76</v>
      </c>
      <c r="F116" s="481" t="s">
        <v>157</v>
      </c>
      <c r="G116" s="481"/>
      <c r="H116" s="1" t="s">
        <v>300</v>
      </c>
      <c r="I116" s="1">
        <v>75</v>
      </c>
      <c r="J116" s="481" t="s">
        <v>157</v>
      </c>
    </row>
    <row r="117" spans="2:10" x14ac:dyDescent="0.2">
      <c r="B117" s="480" t="s">
        <v>301</v>
      </c>
      <c r="C117" s="481">
        <v>72</v>
      </c>
      <c r="D117" s="481">
        <v>80</v>
      </c>
      <c r="E117" s="481">
        <f t="shared" si="1"/>
        <v>76</v>
      </c>
      <c r="F117" s="481" t="s">
        <v>157</v>
      </c>
      <c r="G117" s="481"/>
      <c r="H117" s="1" t="s">
        <v>302</v>
      </c>
      <c r="I117" s="1">
        <v>85</v>
      </c>
      <c r="J117" s="481" t="s">
        <v>157</v>
      </c>
    </row>
    <row r="118" spans="2:10" x14ac:dyDescent="0.2">
      <c r="B118" s="480" t="s">
        <v>303</v>
      </c>
      <c r="C118" s="481">
        <v>72</v>
      </c>
      <c r="D118" s="481">
        <v>78</v>
      </c>
      <c r="E118" s="481">
        <f t="shared" si="1"/>
        <v>75</v>
      </c>
      <c r="F118" s="481" t="s">
        <v>157</v>
      </c>
      <c r="G118" s="481"/>
      <c r="H118" s="1" t="s">
        <v>304</v>
      </c>
      <c r="I118" s="1">
        <v>81</v>
      </c>
      <c r="J118" s="481" t="s">
        <v>157</v>
      </c>
    </row>
    <row r="119" spans="2:10" x14ac:dyDescent="0.2">
      <c r="B119" s="480" t="s">
        <v>305</v>
      </c>
      <c r="C119" s="481">
        <v>65</v>
      </c>
      <c r="D119" s="481">
        <v>70</v>
      </c>
      <c r="E119" s="481">
        <f t="shared" si="1"/>
        <v>67.5</v>
      </c>
      <c r="F119" s="481" t="s">
        <v>157</v>
      </c>
      <c r="G119" s="481"/>
      <c r="H119" s="1" t="s">
        <v>306</v>
      </c>
      <c r="I119" s="1">
        <v>81</v>
      </c>
      <c r="J119" s="481" t="s">
        <v>157</v>
      </c>
    </row>
    <row r="120" spans="2:10" x14ac:dyDescent="0.2">
      <c r="B120" s="480" t="s">
        <v>307</v>
      </c>
      <c r="C120" s="481">
        <v>68</v>
      </c>
      <c r="D120" s="481">
        <v>75</v>
      </c>
      <c r="E120" s="481">
        <f t="shared" si="1"/>
        <v>71.5</v>
      </c>
      <c r="F120" s="481" t="s">
        <v>157</v>
      </c>
      <c r="G120" s="481"/>
      <c r="H120" s="1" t="s">
        <v>308</v>
      </c>
      <c r="I120" s="1">
        <v>90</v>
      </c>
      <c r="J120" s="481" t="s">
        <v>157</v>
      </c>
    </row>
    <row r="121" spans="2:10" x14ac:dyDescent="0.2">
      <c r="B121" s="480" t="s">
        <v>309</v>
      </c>
      <c r="C121" s="481">
        <v>75</v>
      </c>
      <c r="D121" s="481">
        <v>80</v>
      </c>
      <c r="E121" s="481">
        <f t="shared" si="1"/>
        <v>77.5</v>
      </c>
      <c r="F121" s="481" t="s">
        <v>157</v>
      </c>
      <c r="G121" s="481"/>
      <c r="H121" s="1" t="s">
        <v>310</v>
      </c>
      <c r="I121" s="1">
        <v>75</v>
      </c>
      <c r="J121" s="481" t="s">
        <v>157</v>
      </c>
    </row>
    <row r="122" spans="2:10" x14ac:dyDescent="0.2">
      <c r="B122" s="480" t="s">
        <v>311</v>
      </c>
      <c r="C122" s="481">
        <v>75</v>
      </c>
      <c r="D122" s="481">
        <v>80</v>
      </c>
      <c r="E122" s="481">
        <f t="shared" si="1"/>
        <v>77.5</v>
      </c>
      <c r="F122" s="481" t="s">
        <v>157</v>
      </c>
      <c r="G122" s="481"/>
      <c r="H122" s="1" t="s">
        <v>312</v>
      </c>
      <c r="I122" s="1">
        <v>75</v>
      </c>
      <c r="J122" s="1" t="s">
        <v>185</v>
      </c>
    </row>
    <row r="123" spans="2:10" x14ac:dyDescent="0.2">
      <c r="B123" s="480" t="s">
        <v>313</v>
      </c>
      <c r="C123" s="481">
        <v>70</v>
      </c>
      <c r="D123" s="481">
        <v>74</v>
      </c>
      <c r="E123" s="481">
        <f t="shared" si="1"/>
        <v>72</v>
      </c>
      <c r="F123" s="481" t="s">
        <v>157</v>
      </c>
      <c r="G123" s="481"/>
      <c r="H123" s="1" t="s">
        <v>314</v>
      </c>
      <c r="I123" s="1">
        <v>75</v>
      </c>
      <c r="J123" s="481" t="s">
        <v>157</v>
      </c>
    </row>
    <row r="124" spans="2:10" x14ac:dyDescent="0.2">
      <c r="B124" s="480" t="s">
        <v>315</v>
      </c>
      <c r="C124" s="481">
        <v>76</v>
      </c>
      <c r="D124" s="481">
        <v>83</v>
      </c>
      <c r="E124" s="481">
        <f t="shared" si="1"/>
        <v>79.5</v>
      </c>
      <c r="F124" s="481" t="s">
        <v>157</v>
      </c>
      <c r="G124" s="481"/>
      <c r="H124" s="1" t="s">
        <v>316</v>
      </c>
      <c r="I124" s="1">
        <v>75</v>
      </c>
      <c r="J124" s="481" t="s">
        <v>157</v>
      </c>
    </row>
    <row r="125" spans="2:10" x14ac:dyDescent="0.2">
      <c r="B125" s="480" t="s">
        <v>317</v>
      </c>
      <c r="C125" s="481">
        <v>69</v>
      </c>
      <c r="D125" s="481">
        <v>76</v>
      </c>
      <c r="E125" s="481">
        <f t="shared" si="1"/>
        <v>72.5</v>
      </c>
      <c r="F125" s="481" t="s">
        <v>157</v>
      </c>
      <c r="G125" s="481"/>
      <c r="H125" s="484" t="s">
        <v>318</v>
      </c>
      <c r="I125" s="1">
        <v>92.5</v>
      </c>
      <c r="J125" s="481" t="s">
        <v>157</v>
      </c>
    </row>
    <row r="126" spans="2:10" x14ac:dyDescent="0.2">
      <c r="B126" s="480" t="s">
        <v>319</v>
      </c>
      <c r="C126" s="481">
        <v>80</v>
      </c>
      <c r="D126" s="481">
        <v>85</v>
      </c>
      <c r="E126" s="481">
        <f t="shared" si="1"/>
        <v>82.5</v>
      </c>
      <c r="F126" s="481" t="s">
        <v>157</v>
      </c>
      <c r="G126" s="481"/>
      <c r="H126" s="1" t="s">
        <v>320</v>
      </c>
      <c r="I126" s="1">
        <v>69</v>
      </c>
      <c r="J126" s="1" t="s">
        <v>157</v>
      </c>
    </row>
    <row r="127" spans="2:10" x14ac:dyDescent="0.2">
      <c r="B127" s="480" t="s">
        <v>321</v>
      </c>
      <c r="C127" s="481">
        <v>73</v>
      </c>
      <c r="D127" s="481">
        <v>78</v>
      </c>
      <c r="E127" s="481">
        <f t="shared" si="1"/>
        <v>75.5</v>
      </c>
      <c r="F127" s="481" t="s">
        <v>157</v>
      </c>
      <c r="G127" s="481"/>
      <c r="H127" s="480" t="s">
        <v>322</v>
      </c>
      <c r="I127" s="1">
        <v>90</v>
      </c>
      <c r="J127" s="481" t="s">
        <v>157</v>
      </c>
    </row>
    <row r="128" spans="2:10" x14ac:dyDescent="0.2">
      <c r="B128" s="480" t="s">
        <v>323</v>
      </c>
      <c r="C128" s="481">
        <v>80</v>
      </c>
      <c r="D128" s="481">
        <v>80</v>
      </c>
      <c r="E128" s="481">
        <f t="shared" si="1"/>
        <v>80</v>
      </c>
      <c r="F128" s="481" t="s">
        <v>157</v>
      </c>
      <c r="G128" s="481"/>
      <c r="H128" s="1" t="s">
        <v>324</v>
      </c>
      <c r="I128" s="1">
        <v>90</v>
      </c>
      <c r="J128" s="1" t="s">
        <v>157</v>
      </c>
    </row>
    <row r="129" spans="2:10" x14ac:dyDescent="0.2">
      <c r="B129" s="480" t="s">
        <v>325</v>
      </c>
      <c r="C129" s="481">
        <v>72</v>
      </c>
      <c r="D129" s="481">
        <v>76</v>
      </c>
      <c r="E129" s="481">
        <f t="shared" si="1"/>
        <v>74</v>
      </c>
      <c r="F129" s="481" t="s">
        <v>157</v>
      </c>
      <c r="G129" s="481"/>
      <c r="H129" s="1" t="s">
        <v>326</v>
      </c>
      <c r="J129" s="481"/>
    </row>
    <row r="130" spans="2:10" x14ac:dyDescent="0.2">
      <c r="B130" s="480" t="s">
        <v>327</v>
      </c>
      <c r="C130" s="481">
        <v>70</v>
      </c>
      <c r="D130" s="481">
        <v>75</v>
      </c>
      <c r="E130" s="481">
        <f t="shared" si="1"/>
        <v>72.5</v>
      </c>
      <c r="F130" s="481" t="s">
        <v>157</v>
      </c>
      <c r="G130" s="481"/>
      <c r="H130" s="1" t="s">
        <v>328</v>
      </c>
      <c r="I130" s="1">
        <v>85</v>
      </c>
      <c r="J130" s="481" t="s">
        <v>157</v>
      </c>
    </row>
    <row r="131" spans="2:10" x14ac:dyDescent="0.2">
      <c r="B131" s="480" t="s">
        <v>329</v>
      </c>
      <c r="C131" s="481">
        <v>73</v>
      </c>
      <c r="D131" s="481">
        <v>77</v>
      </c>
      <c r="E131" s="481">
        <f t="shared" si="1"/>
        <v>75</v>
      </c>
      <c r="F131" s="481" t="s">
        <v>157</v>
      </c>
      <c r="G131" s="481"/>
      <c r="H131" s="1" t="s">
        <v>330</v>
      </c>
      <c r="I131" s="1">
        <v>80</v>
      </c>
      <c r="J131" s="481" t="s">
        <v>157</v>
      </c>
    </row>
    <row r="132" spans="2:10" x14ac:dyDescent="0.2">
      <c r="B132" s="480" t="s">
        <v>331</v>
      </c>
      <c r="C132" s="481">
        <v>73</v>
      </c>
      <c r="D132" s="481">
        <v>80</v>
      </c>
      <c r="E132" s="481">
        <f t="shared" si="1"/>
        <v>76.5</v>
      </c>
      <c r="F132" s="481" t="s">
        <v>157</v>
      </c>
      <c r="G132" s="481"/>
      <c r="H132" s="484" t="s">
        <v>332</v>
      </c>
      <c r="I132" s="1">
        <v>76</v>
      </c>
      <c r="J132" s="481" t="s">
        <v>185</v>
      </c>
    </row>
    <row r="133" spans="2:10" x14ac:dyDescent="0.2">
      <c r="B133" s="480" t="s">
        <v>333</v>
      </c>
      <c r="C133" s="481">
        <v>74</v>
      </c>
      <c r="D133" s="481">
        <v>78</v>
      </c>
      <c r="E133" s="481">
        <f t="shared" ref="E133:E189" si="2">AVERAGE(C133:D133)</f>
        <v>76</v>
      </c>
      <c r="F133" s="481" t="s">
        <v>157</v>
      </c>
      <c r="G133" s="481"/>
      <c r="H133" s="1" t="s">
        <v>334</v>
      </c>
      <c r="I133" s="1">
        <v>86.5</v>
      </c>
      <c r="J133" s="481" t="s">
        <v>157</v>
      </c>
    </row>
    <row r="134" spans="2:10" x14ac:dyDescent="0.2">
      <c r="B134" s="480" t="s">
        <v>335</v>
      </c>
      <c r="C134" s="481">
        <v>70</v>
      </c>
      <c r="D134" s="481">
        <v>75</v>
      </c>
      <c r="E134" s="481">
        <f t="shared" si="2"/>
        <v>72.5</v>
      </c>
      <c r="F134" s="481" t="s">
        <v>157</v>
      </c>
      <c r="G134" s="481"/>
      <c r="H134" s="480" t="s">
        <v>336</v>
      </c>
      <c r="I134" s="1">
        <v>75</v>
      </c>
      <c r="J134" s="481" t="s">
        <v>157</v>
      </c>
    </row>
    <row r="135" spans="2:10" x14ac:dyDescent="0.2">
      <c r="B135" s="480" t="s">
        <v>337</v>
      </c>
      <c r="C135" s="481">
        <v>75</v>
      </c>
      <c r="D135" s="481">
        <v>80</v>
      </c>
      <c r="E135" s="481">
        <f t="shared" si="2"/>
        <v>77.5</v>
      </c>
      <c r="F135" s="481" t="s">
        <v>157</v>
      </c>
      <c r="G135" s="481"/>
      <c r="H135" s="480" t="s">
        <v>338</v>
      </c>
      <c r="I135" s="1">
        <v>75</v>
      </c>
      <c r="J135" s="481" t="s">
        <v>157</v>
      </c>
    </row>
    <row r="136" spans="2:10" x14ac:dyDescent="0.2">
      <c r="B136" s="480" t="s">
        <v>339</v>
      </c>
      <c r="C136" s="481">
        <v>74</v>
      </c>
      <c r="D136" s="481">
        <v>80</v>
      </c>
      <c r="E136" s="481">
        <f t="shared" si="2"/>
        <v>77</v>
      </c>
      <c r="F136" s="481" t="s">
        <v>157</v>
      </c>
      <c r="G136" s="481"/>
      <c r="H136" s="480" t="s">
        <v>340</v>
      </c>
      <c r="I136" s="1">
        <v>75</v>
      </c>
      <c r="J136" s="481" t="s">
        <v>157</v>
      </c>
    </row>
    <row r="137" spans="2:10" x14ac:dyDescent="0.2">
      <c r="B137" s="480" t="s">
        <v>341</v>
      </c>
      <c r="C137" s="481">
        <v>73</v>
      </c>
      <c r="D137" s="481">
        <v>80</v>
      </c>
      <c r="E137" s="481">
        <f t="shared" si="2"/>
        <v>76.5</v>
      </c>
      <c r="F137" s="481" t="s">
        <v>157</v>
      </c>
      <c r="G137" s="481"/>
      <c r="H137" s="480" t="s">
        <v>342</v>
      </c>
      <c r="I137" s="1">
        <v>77</v>
      </c>
      <c r="J137" s="481" t="s">
        <v>155</v>
      </c>
    </row>
    <row r="138" spans="2:10" x14ac:dyDescent="0.2">
      <c r="B138" s="480" t="s">
        <v>343</v>
      </c>
      <c r="C138" s="481">
        <v>75</v>
      </c>
      <c r="D138" s="481">
        <v>80</v>
      </c>
      <c r="E138" s="481">
        <f t="shared" si="2"/>
        <v>77.5</v>
      </c>
      <c r="F138" s="481" t="s">
        <v>157</v>
      </c>
      <c r="G138" s="481"/>
      <c r="H138" s="1" t="s">
        <v>344</v>
      </c>
      <c r="I138" s="1">
        <v>58</v>
      </c>
      <c r="J138" s="481" t="s">
        <v>157</v>
      </c>
    </row>
    <row r="139" spans="2:10" x14ac:dyDescent="0.2">
      <c r="B139" s="480" t="s">
        <v>345</v>
      </c>
      <c r="C139" s="481">
        <v>74</v>
      </c>
      <c r="D139" s="481">
        <v>82</v>
      </c>
      <c r="E139" s="481">
        <f t="shared" si="2"/>
        <v>78</v>
      </c>
      <c r="F139" s="481" t="s">
        <v>157</v>
      </c>
      <c r="G139" s="481"/>
      <c r="H139" s="1" t="s">
        <v>346</v>
      </c>
      <c r="I139" s="1">
        <v>79</v>
      </c>
      <c r="J139" s="481" t="s">
        <v>157</v>
      </c>
    </row>
    <row r="140" spans="2:10" x14ac:dyDescent="0.2">
      <c r="B140" s="480" t="s">
        <v>347</v>
      </c>
      <c r="C140" s="481">
        <v>78</v>
      </c>
      <c r="D140" s="481">
        <v>85</v>
      </c>
      <c r="E140" s="481">
        <f t="shared" si="2"/>
        <v>81.5</v>
      </c>
      <c r="F140" s="481" t="s">
        <v>157</v>
      </c>
      <c r="G140" s="481"/>
      <c r="H140" s="1" t="s">
        <v>348</v>
      </c>
      <c r="I140" s="1">
        <v>40</v>
      </c>
      <c r="J140" s="481" t="s">
        <v>157</v>
      </c>
    </row>
    <row r="141" spans="2:10" x14ac:dyDescent="0.2">
      <c r="B141" s="480" t="s">
        <v>349</v>
      </c>
      <c r="C141" s="481">
        <v>78</v>
      </c>
      <c r="D141" s="481">
        <v>85</v>
      </c>
      <c r="E141" s="481">
        <f t="shared" si="2"/>
        <v>81.5</v>
      </c>
      <c r="F141" s="481" t="s">
        <v>157</v>
      </c>
      <c r="G141" s="481"/>
      <c r="H141" s="1" t="s">
        <v>350</v>
      </c>
      <c r="I141" s="1">
        <v>89</v>
      </c>
      <c r="J141" s="481" t="s">
        <v>157</v>
      </c>
    </row>
    <row r="142" spans="2:10" x14ac:dyDescent="0.2">
      <c r="B142" s="480" t="s">
        <v>351</v>
      </c>
      <c r="C142" s="481">
        <v>76</v>
      </c>
      <c r="D142" s="481">
        <v>82</v>
      </c>
      <c r="E142" s="481">
        <f t="shared" si="2"/>
        <v>79</v>
      </c>
      <c r="F142" s="481" t="s">
        <v>157</v>
      </c>
      <c r="G142" s="481"/>
      <c r="H142" s="1" t="s">
        <v>352</v>
      </c>
      <c r="I142" s="1">
        <v>89</v>
      </c>
      <c r="J142" s="481" t="s">
        <v>157</v>
      </c>
    </row>
    <row r="143" spans="2:10" x14ac:dyDescent="0.2">
      <c r="B143" s="480" t="s">
        <v>353</v>
      </c>
      <c r="C143" s="481">
        <v>65</v>
      </c>
      <c r="D143" s="481">
        <v>75</v>
      </c>
      <c r="E143" s="481">
        <f t="shared" si="2"/>
        <v>70</v>
      </c>
      <c r="F143" s="481" t="s">
        <v>157</v>
      </c>
      <c r="G143" s="481"/>
      <c r="H143" s="480" t="s">
        <v>354</v>
      </c>
      <c r="I143" s="481">
        <v>77</v>
      </c>
      <c r="J143" s="481" t="s">
        <v>157</v>
      </c>
    </row>
    <row r="144" spans="2:10" x14ac:dyDescent="0.2">
      <c r="B144" s="1" t="s">
        <v>355</v>
      </c>
      <c r="C144" s="481">
        <v>78</v>
      </c>
      <c r="D144" s="481">
        <v>85</v>
      </c>
      <c r="E144" s="481">
        <f t="shared" si="2"/>
        <v>81.5</v>
      </c>
      <c r="F144" s="481" t="s">
        <v>157</v>
      </c>
      <c r="G144" s="481"/>
      <c r="H144" s="480" t="s">
        <v>356</v>
      </c>
      <c r="I144" s="1">
        <v>78</v>
      </c>
      <c r="J144" s="481" t="s">
        <v>157</v>
      </c>
    </row>
    <row r="145" spans="2:10" x14ac:dyDescent="0.2">
      <c r="B145" s="1" t="s">
        <v>357</v>
      </c>
      <c r="C145" s="481">
        <v>73</v>
      </c>
      <c r="D145" s="481">
        <v>78</v>
      </c>
      <c r="E145" s="481">
        <f t="shared" si="2"/>
        <v>75.5</v>
      </c>
      <c r="F145" s="481" t="s">
        <v>157</v>
      </c>
      <c r="G145" s="481"/>
      <c r="H145" s="1" t="s">
        <v>358</v>
      </c>
      <c r="I145" s="1">
        <v>83</v>
      </c>
      <c r="J145" s="481" t="s">
        <v>157</v>
      </c>
    </row>
    <row r="146" spans="2:10" x14ac:dyDescent="0.2">
      <c r="B146" s="1" t="s">
        <v>359</v>
      </c>
      <c r="C146" s="481">
        <v>73</v>
      </c>
      <c r="D146" s="481">
        <v>78</v>
      </c>
      <c r="E146" s="481">
        <f t="shared" si="2"/>
        <v>75.5</v>
      </c>
      <c r="F146" s="481" t="s">
        <v>157</v>
      </c>
      <c r="G146" s="481"/>
      <c r="H146" s="1" t="s">
        <v>360</v>
      </c>
      <c r="I146" s="481">
        <v>89</v>
      </c>
      <c r="J146" s="481" t="s">
        <v>157</v>
      </c>
    </row>
    <row r="147" spans="2:10" x14ac:dyDescent="0.2">
      <c r="B147" s="1" t="s">
        <v>361</v>
      </c>
      <c r="C147" s="481">
        <v>74</v>
      </c>
      <c r="D147" s="481">
        <v>80</v>
      </c>
      <c r="E147" s="481">
        <f t="shared" si="2"/>
        <v>77</v>
      </c>
      <c r="F147" s="481" t="s">
        <v>157</v>
      </c>
      <c r="G147" s="481"/>
      <c r="H147" s="1" t="s">
        <v>362</v>
      </c>
      <c r="I147" s="1">
        <v>79</v>
      </c>
      <c r="J147" s="481" t="s">
        <v>157</v>
      </c>
    </row>
    <row r="148" spans="2:10" x14ac:dyDescent="0.2">
      <c r="B148" s="1" t="s">
        <v>363</v>
      </c>
      <c r="C148" s="481">
        <v>70</v>
      </c>
      <c r="D148" s="481">
        <v>74</v>
      </c>
      <c r="E148" s="481">
        <f t="shared" si="2"/>
        <v>72</v>
      </c>
      <c r="F148" s="481" t="s">
        <v>157</v>
      </c>
      <c r="G148" s="481"/>
      <c r="H148" s="1" t="s">
        <v>364</v>
      </c>
      <c r="J148" s="481"/>
    </row>
    <row r="149" spans="2:10" x14ac:dyDescent="0.2">
      <c r="B149" s="1" t="s">
        <v>365</v>
      </c>
      <c r="C149" s="481">
        <v>73</v>
      </c>
      <c r="D149" s="481">
        <v>80</v>
      </c>
      <c r="E149" s="481">
        <f t="shared" si="2"/>
        <v>76.5</v>
      </c>
      <c r="F149" s="481" t="s">
        <v>157</v>
      </c>
      <c r="G149" s="481"/>
      <c r="H149" s="1" t="s">
        <v>366</v>
      </c>
      <c r="I149" s="1">
        <v>78</v>
      </c>
      <c r="J149" s="481" t="s">
        <v>157</v>
      </c>
    </row>
    <row r="150" spans="2:10" x14ac:dyDescent="0.2">
      <c r="B150" s="1" t="s">
        <v>367</v>
      </c>
      <c r="C150" s="481">
        <v>30</v>
      </c>
      <c r="D150" s="481">
        <v>50</v>
      </c>
      <c r="E150" s="481">
        <f t="shared" si="2"/>
        <v>40</v>
      </c>
      <c r="F150" s="481" t="s">
        <v>157</v>
      </c>
      <c r="G150" s="481"/>
      <c r="H150" s="1" t="s">
        <v>368</v>
      </c>
      <c r="I150" s="1">
        <v>77</v>
      </c>
      <c r="J150" s="481" t="s">
        <v>185</v>
      </c>
    </row>
    <row r="151" spans="2:10" x14ac:dyDescent="0.2">
      <c r="B151" s="1" t="s">
        <v>369</v>
      </c>
      <c r="C151" s="481">
        <v>65</v>
      </c>
      <c r="D151" s="481">
        <v>75</v>
      </c>
      <c r="E151" s="481">
        <f t="shared" si="2"/>
        <v>70</v>
      </c>
      <c r="F151" s="481" t="s">
        <v>157</v>
      </c>
      <c r="G151" s="481"/>
      <c r="H151" s="1" t="s">
        <v>370</v>
      </c>
      <c r="I151" s="1">
        <v>82.5</v>
      </c>
      <c r="J151" s="481" t="s">
        <v>157</v>
      </c>
    </row>
    <row r="152" spans="2:10" x14ac:dyDescent="0.2">
      <c r="B152" s="1" t="s">
        <v>371</v>
      </c>
      <c r="E152" s="481">
        <v>75</v>
      </c>
      <c r="F152" s="481" t="s">
        <v>157</v>
      </c>
      <c r="H152" s="1" t="s">
        <v>372</v>
      </c>
      <c r="I152" s="1">
        <v>81</v>
      </c>
      <c r="J152" s="481" t="s">
        <v>185</v>
      </c>
    </row>
    <row r="153" spans="2:10" x14ac:dyDescent="0.2">
      <c r="B153" s="1" t="s">
        <v>373</v>
      </c>
      <c r="C153" s="481">
        <v>73</v>
      </c>
      <c r="D153" s="481">
        <v>80</v>
      </c>
      <c r="E153" s="481">
        <f t="shared" si="2"/>
        <v>76.5</v>
      </c>
      <c r="F153" s="481" t="s">
        <v>157</v>
      </c>
      <c r="H153" s="1" t="s">
        <v>374</v>
      </c>
      <c r="I153" s="1">
        <v>80</v>
      </c>
      <c r="J153" s="481" t="s">
        <v>157</v>
      </c>
    </row>
    <row r="154" spans="2:10" x14ac:dyDescent="0.2">
      <c r="B154" s="1" t="s">
        <v>375</v>
      </c>
      <c r="C154" s="481">
        <v>70</v>
      </c>
      <c r="D154" s="481">
        <v>85</v>
      </c>
      <c r="E154" s="481">
        <f t="shared" si="2"/>
        <v>77.5</v>
      </c>
      <c r="F154" s="481" t="s">
        <v>157</v>
      </c>
      <c r="H154" s="1" t="s">
        <v>376</v>
      </c>
      <c r="I154" s="1">
        <v>77</v>
      </c>
      <c r="J154" s="481" t="s">
        <v>157</v>
      </c>
    </row>
    <row r="155" spans="2:10" x14ac:dyDescent="0.2">
      <c r="B155" s="1" t="s">
        <v>377</v>
      </c>
      <c r="C155" s="481">
        <v>70</v>
      </c>
      <c r="D155" s="481">
        <v>85</v>
      </c>
      <c r="E155" s="481">
        <f t="shared" si="2"/>
        <v>77.5</v>
      </c>
      <c r="F155" s="481" t="s">
        <v>157</v>
      </c>
      <c r="H155" s="1" t="s">
        <v>378</v>
      </c>
      <c r="I155" s="1">
        <v>80</v>
      </c>
      <c r="J155" s="481" t="s">
        <v>157</v>
      </c>
    </row>
    <row r="156" spans="2:10" x14ac:dyDescent="0.2">
      <c r="B156" s="1" t="s">
        <v>379</v>
      </c>
      <c r="C156" s="481">
        <v>70</v>
      </c>
      <c r="D156" s="481">
        <v>85</v>
      </c>
      <c r="E156" s="481">
        <f t="shared" si="2"/>
        <v>77.5</v>
      </c>
      <c r="F156" s="481" t="s">
        <v>157</v>
      </c>
      <c r="H156" s="1" t="s">
        <v>380</v>
      </c>
      <c r="I156" s="1">
        <v>75</v>
      </c>
      <c r="J156" s="481" t="s">
        <v>157</v>
      </c>
    </row>
    <row r="157" spans="2:10" x14ac:dyDescent="0.2">
      <c r="B157" s="1" t="s">
        <v>381</v>
      </c>
      <c r="C157" s="481">
        <v>85</v>
      </c>
      <c r="D157" s="481">
        <v>85</v>
      </c>
      <c r="E157" s="481">
        <f t="shared" si="2"/>
        <v>85</v>
      </c>
      <c r="F157" s="481" t="s">
        <v>157</v>
      </c>
      <c r="H157" s="1" t="s">
        <v>382</v>
      </c>
      <c r="I157" s="1">
        <v>79</v>
      </c>
      <c r="J157" s="481" t="s">
        <v>157</v>
      </c>
    </row>
    <row r="158" spans="2:10" x14ac:dyDescent="0.2">
      <c r="B158" s="1" t="s">
        <v>383</v>
      </c>
      <c r="C158" s="481">
        <v>70</v>
      </c>
      <c r="D158" s="481">
        <v>85</v>
      </c>
      <c r="E158" s="481">
        <f t="shared" si="2"/>
        <v>77.5</v>
      </c>
      <c r="F158" s="481" t="s">
        <v>157</v>
      </c>
      <c r="H158" s="1" t="s">
        <v>384</v>
      </c>
      <c r="I158" s="1">
        <v>79</v>
      </c>
      <c r="J158" s="481" t="s">
        <v>157</v>
      </c>
    </row>
    <row r="159" spans="2:10" x14ac:dyDescent="0.2">
      <c r="B159" s="1" t="s">
        <v>385</v>
      </c>
      <c r="C159" s="481">
        <v>70</v>
      </c>
      <c r="D159" s="481">
        <v>85</v>
      </c>
      <c r="E159" s="481">
        <f t="shared" si="2"/>
        <v>77.5</v>
      </c>
      <c r="F159" s="481" t="s">
        <v>157</v>
      </c>
      <c r="H159" s="1" t="s">
        <v>386</v>
      </c>
      <c r="I159" s="1">
        <v>82</v>
      </c>
      <c r="J159" s="481" t="s">
        <v>157</v>
      </c>
    </row>
    <row r="160" spans="2:10" x14ac:dyDescent="0.2">
      <c r="B160" s="1" t="s">
        <v>387</v>
      </c>
      <c r="C160" s="481">
        <v>70</v>
      </c>
      <c r="D160" s="481">
        <v>80</v>
      </c>
      <c r="E160" s="481">
        <f t="shared" si="2"/>
        <v>75</v>
      </c>
      <c r="F160" s="481" t="s">
        <v>157</v>
      </c>
      <c r="H160" s="1" t="s">
        <v>388</v>
      </c>
      <c r="I160" s="1">
        <v>78</v>
      </c>
      <c r="J160" s="481" t="s">
        <v>157</v>
      </c>
    </row>
    <row r="161" spans="2:10" x14ac:dyDescent="0.2">
      <c r="B161" s="1" t="s">
        <v>389</v>
      </c>
      <c r="C161" s="481">
        <v>65</v>
      </c>
      <c r="D161" s="481">
        <v>65</v>
      </c>
      <c r="E161" s="481">
        <f t="shared" si="2"/>
        <v>65</v>
      </c>
      <c r="F161" s="481" t="s">
        <v>157</v>
      </c>
      <c r="H161" s="1" t="s">
        <v>390</v>
      </c>
      <c r="I161" s="1">
        <v>81</v>
      </c>
      <c r="J161" s="481" t="s">
        <v>155</v>
      </c>
    </row>
    <row r="162" spans="2:10" x14ac:dyDescent="0.2">
      <c r="B162" s="1" t="s">
        <v>391</v>
      </c>
      <c r="C162" s="481">
        <v>68</v>
      </c>
      <c r="D162" s="481">
        <v>80</v>
      </c>
      <c r="E162" s="481">
        <f t="shared" si="2"/>
        <v>74</v>
      </c>
      <c r="F162" s="481" t="s">
        <v>157</v>
      </c>
      <c r="H162" s="1" t="s">
        <v>392</v>
      </c>
      <c r="I162" s="1">
        <v>81</v>
      </c>
      <c r="J162" s="481" t="s">
        <v>157</v>
      </c>
    </row>
    <row r="163" spans="2:10" x14ac:dyDescent="0.2">
      <c r="B163" s="1" t="s">
        <v>393</v>
      </c>
      <c r="F163" s="481" t="s">
        <v>157</v>
      </c>
      <c r="H163" s="1" t="s">
        <v>394</v>
      </c>
      <c r="I163" s="1">
        <v>77.5</v>
      </c>
      <c r="J163" s="481" t="s">
        <v>157</v>
      </c>
    </row>
    <row r="164" spans="2:10" x14ac:dyDescent="0.2">
      <c r="B164" s="1" t="s">
        <v>395</v>
      </c>
      <c r="C164" s="481">
        <v>75</v>
      </c>
      <c r="D164" s="481">
        <v>82</v>
      </c>
      <c r="E164" s="481">
        <f t="shared" si="2"/>
        <v>78.5</v>
      </c>
      <c r="F164" s="481" t="s">
        <v>157</v>
      </c>
      <c r="H164" s="1" t="s">
        <v>396</v>
      </c>
      <c r="I164" s="1">
        <v>71</v>
      </c>
      <c r="J164" s="481" t="s">
        <v>157</v>
      </c>
    </row>
    <row r="165" spans="2:10" x14ac:dyDescent="0.2">
      <c r="B165" s="1" t="s">
        <v>397</v>
      </c>
      <c r="C165" s="481">
        <v>80</v>
      </c>
      <c r="D165" s="481">
        <v>80</v>
      </c>
      <c r="E165" s="481">
        <f t="shared" si="2"/>
        <v>80</v>
      </c>
      <c r="F165" s="481" t="s">
        <v>157</v>
      </c>
      <c r="H165" s="1" t="s">
        <v>398</v>
      </c>
      <c r="I165" s="1">
        <v>81</v>
      </c>
      <c r="J165" s="481" t="s">
        <v>185</v>
      </c>
    </row>
    <row r="166" spans="2:10" x14ac:dyDescent="0.2">
      <c r="B166" s="1" t="s">
        <v>399</v>
      </c>
      <c r="F166" s="481" t="s">
        <v>157</v>
      </c>
      <c r="H166" s="1" t="s">
        <v>400</v>
      </c>
      <c r="I166" s="1">
        <v>81</v>
      </c>
      <c r="J166" s="481" t="s">
        <v>157</v>
      </c>
    </row>
    <row r="167" spans="2:10" x14ac:dyDescent="0.2">
      <c r="B167" s="1" t="s">
        <v>401</v>
      </c>
      <c r="C167" s="481">
        <v>75</v>
      </c>
      <c r="D167" s="481">
        <v>82</v>
      </c>
      <c r="E167" s="481">
        <f t="shared" si="2"/>
        <v>78.5</v>
      </c>
      <c r="F167" s="481" t="s">
        <v>157</v>
      </c>
      <c r="H167" s="1" t="s">
        <v>402</v>
      </c>
      <c r="I167" s="1">
        <v>81</v>
      </c>
      <c r="J167" s="481" t="s">
        <v>157</v>
      </c>
    </row>
    <row r="168" spans="2:10" x14ac:dyDescent="0.2">
      <c r="B168" s="1" t="s">
        <v>403</v>
      </c>
      <c r="C168" s="481">
        <v>75</v>
      </c>
      <c r="D168" s="481">
        <v>82</v>
      </c>
      <c r="E168" s="481">
        <f t="shared" si="2"/>
        <v>78.5</v>
      </c>
      <c r="F168" s="481" t="s">
        <v>157</v>
      </c>
      <c r="H168" s="1" t="s">
        <v>404</v>
      </c>
      <c r="I168" s="1">
        <v>81</v>
      </c>
      <c r="J168" s="481" t="s">
        <v>157</v>
      </c>
    </row>
    <row r="169" spans="2:10" x14ac:dyDescent="0.2">
      <c r="B169" s="1" t="s">
        <v>405</v>
      </c>
      <c r="F169" s="481" t="s">
        <v>157</v>
      </c>
      <c r="H169" s="1" t="s">
        <v>406</v>
      </c>
      <c r="I169" s="1">
        <v>76</v>
      </c>
      <c r="J169" s="481" t="s">
        <v>185</v>
      </c>
    </row>
    <row r="170" spans="2:10" x14ac:dyDescent="0.2">
      <c r="B170" s="1" t="s">
        <v>407</v>
      </c>
      <c r="F170" s="481" t="s">
        <v>157</v>
      </c>
      <c r="H170" s="1" t="s">
        <v>408</v>
      </c>
      <c r="I170" s="1">
        <v>81.5</v>
      </c>
      <c r="J170" s="481" t="s">
        <v>157</v>
      </c>
    </row>
    <row r="171" spans="2:10" x14ac:dyDescent="0.2">
      <c r="B171" s="1" t="s">
        <v>409</v>
      </c>
      <c r="F171" s="481" t="s">
        <v>157</v>
      </c>
      <c r="H171" s="1" t="s">
        <v>410</v>
      </c>
      <c r="I171" s="1">
        <v>84</v>
      </c>
      <c r="J171" s="481" t="s">
        <v>157</v>
      </c>
    </row>
    <row r="172" spans="2:10" x14ac:dyDescent="0.2">
      <c r="B172" s="1" t="s">
        <v>411</v>
      </c>
      <c r="C172" s="481">
        <v>72</v>
      </c>
      <c r="D172" s="481">
        <v>77</v>
      </c>
      <c r="E172" s="481">
        <f t="shared" si="2"/>
        <v>74.5</v>
      </c>
      <c r="F172" s="481" t="s">
        <v>185</v>
      </c>
      <c r="H172" s="1" t="s">
        <v>412</v>
      </c>
      <c r="I172" s="1">
        <v>80</v>
      </c>
      <c r="J172" s="481" t="s">
        <v>157</v>
      </c>
    </row>
    <row r="173" spans="2:10" x14ac:dyDescent="0.2">
      <c r="B173" s="1" t="s">
        <v>413</v>
      </c>
      <c r="C173" s="481">
        <v>75</v>
      </c>
      <c r="D173" s="481">
        <v>80</v>
      </c>
      <c r="E173" s="481">
        <f t="shared" si="2"/>
        <v>77.5</v>
      </c>
      <c r="F173" s="481" t="s">
        <v>185</v>
      </c>
      <c r="H173" s="1" t="s">
        <v>414</v>
      </c>
      <c r="I173" s="1">
        <v>81</v>
      </c>
      <c r="J173" s="481" t="s">
        <v>157</v>
      </c>
    </row>
    <row r="174" spans="2:10" x14ac:dyDescent="0.2">
      <c r="B174" s="1" t="s">
        <v>415</v>
      </c>
      <c r="C174" s="481">
        <v>65</v>
      </c>
      <c r="D174" s="481">
        <v>70</v>
      </c>
      <c r="E174" s="481">
        <f t="shared" si="2"/>
        <v>67.5</v>
      </c>
      <c r="F174" s="481" t="s">
        <v>155</v>
      </c>
      <c r="H174" s="1" t="s">
        <v>416</v>
      </c>
      <c r="I174" s="1">
        <v>77</v>
      </c>
      <c r="J174" s="481" t="s">
        <v>157</v>
      </c>
    </row>
    <row r="175" spans="2:10" x14ac:dyDescent="0.2">
      <c r="B175" s="1" t="s">
        <v>417</v>
      </c>
      <c r="C175" s="481">
        <v>65</v>
      </c>
      <c r="D175" s="481">
        <v>73</v>
      </c>
      <c r="E175" s="481">
        <f t="shared" si="2"/>
        <v>69</v>
      </c>
      <c r="F175" s="481" t="s">
        <v>185</v>
      </c>
      <c r="H175" s="1" t="s">
        <v>418</v>
      </c>
      <c r="I175" s="1">
        <v>76</v>
      </c>
      <c r="J175" s="481" t="s">
        <v>155</v>
      </c>
    </row>
    <row r="176" spans="2:10" x14ac:dyDescent="0.2">
      <c r="B176" s="1" t="s">
        <v>419</v>
      </c>
      <c r="C176" s="481">
        <v>65</v>
      </c>
      <c r="D176" s="481">
        <v>73</v>
      </c>
      <c r="E176" s="481">
        <f t="shared" si="2"/>
        <v>69</v>
      </c>
      <c r="F176" s="481" t="s">
        <v>185</v>
      </c>
      <c r="H176" s="1" t="s">
        <v>420</v>
      </c>
      <c r="I176" s="1">
        <v>73</v>
      </c>
      <c r="J176" s="481" t="s">
        <v>157</v>
      </c>
    </row>
    <row r="177" spans="2:10" x14ac:dyDescent="0.2">
      <c r="B177" s="1" t="s">
        <v>421</v>
      </c>
      <c r="C177" s="481">
        <v>74</v>
      </c>
      <c r="D177" s="481">
        <v>79</v>
      </c>
      <c r="E177" s="481">
        <f t="shared" si="2"/>
        <v>76.5</v>
      </c>
      <c r="F177" s="481" t="s">
        <v>185</v>
      </c>
      <c r="H177" s="1" t="s">
        <v>422</v>
      </c>
      <c r="I177" s="1">
        <v>76</v>
      </c>
      <c r="J177" s="481" t="s">
        <v>157</v>
      </c>
    </row>
    <row r="178" spans="2:10" x14ac:dyDescent="0.2">
      <c r="B178" s="1" t="s">
        <v>423</v>
      </c>
      <c r="C178" s="481">
        <v>70</v>
      </c>
      <c r="D178" s="481">
        <v>76</v>
      </c>
      <c r="E178" s="481">
        <f t="shared" si="2"/>
        <v>73</v>
      </c>
      <c r="F178" s="481" t="s">
        <v>185</v>
      </c>
      <c r="H178" s="1" t="s">
        <v>424</v>
      </c>
      <c r="I178" s="1">
        <v>77</v>
      </c>
      <c r="J178" s="481" t="s">
        <v>157</v>
      </c>
    </row>
    <row r="179" spans="2:10" x14ac:dyDescent="0.2">
      <c r="B179" s="1" t="s">
        <v>425</v>
      </c>
      <c r="C179" s="481">
        <v>70</v>
      </c>
      <c r="D179" s="481">
        <v>76</v>
      </c>
      <c r="E179" s="481">
        <f t="shared" si="2"/>
        <v>73</v>
      </c>
      <c r="F179" s="481" t="s">
        <v>185</v>
      </c>
      <c r="H179" s="1" t="s">
        <v>426</v>
      </c>
      <c r="I179" s="1">
        <v>81</v>
      </c>
      <c r="J179" s="481" t="s">
        <v>157</v>
      </c>
    </row>
    <row r="180" spans="2:10" x14ac:dyDescent="0.2">
      <c r="B180" s="1" t="s">
        <v>427</v>
      </c>
      <c r="C180" s="481">
        <v>68</v>
      </c>
      <c r="D180" s="481">
        <v>76</v>
      </c>
      <c r="E180" s="481">
        <f t="shared" si="2"/>
        <v>72</v>
      </c>
      <c r="F180" s="481" t="s">
        <v>185</v>
      </c>
      <c r="G180" s="481"/>
      <c r="H180" s="1" t="s">
        <v>428</v>
      </c>
      <c r="I180" s="1">
        <v>83</v>
      </c>
      <c r="J180" s="481" t="s">
        <v>157</v>
      </c>
    </row>
    <row r="181" spans="2:10" x14ac:dyDescent="0.2">
      <c r="B181" s="1" t="s">
        <v>429</v>
      </c>
      <c r="C181" s="481">
        <v>75</v>
      </c>
      <c r="D181" s="481">
        <v>80</v>
      </c>
      <c r="E181" s="481">
        <f t="shared" si="2"/>
        <v>77.5</v>
      </c>
      <c r="F181" s="481" t="s">
        <v>185</v>
      </c>
      <c r="G181" s="481"/>
      <c r="H181" s="1" t="s">
        <v>430</v>
      </c>
      <c r="I181" s="1">
        <v>74.5</v>
      </c>
      <c r="J181" s="481" t="s">
        <v>157</v>
      </c>
    </row>
    <row r="182" spans="2:10" x14ac:dyDescent="0.2">
      <c r="B182" s="1" t="s">
        <v>431</v>
      </c>
      <c r="C182" s="481">
        <v>75</v>
      </c>
      <c r="D182" s="481">
        <v>78</v>
      </c>
      <c r="E182" s="481">
        <f t="shared" si="2"/>
        <v>76.5</v>
      </c>
      <c r="F182" s="481" t="s">
        <v>185</v>
      </c>
      <c r="H182" s="1" t="s">
        <v>432</v>
      </c>
      <c r="I182" s="1">
        <v>79</v>
      </c>
      <c r="J182" s="481" t="s">
        <v>157</v>
      </c>
    </row>
    <row r="183" spans="2:10" x14ac:dyDescent="0.2">
      <c r="B183" s="1" t="s">
        <v>433</v>
      </c>
      <c r="C183" s="481">
        <v>72</v>
      </c>
      <c r="D183" s="481">
        <v>78</v>
      </c>
      <c r="E183" s="481">
        <f t="shared" si="2"/>
        <v>75</v>
      </c>
      <c r="F183" s="481" t="s">
        <v>185</v>
      </c>
      <c r="H183" s="480" t="s">
        <v>1632</v>
      </c>
      <c r="I183" s="1">
        <v>71</v>
      </c>
      <c r="J183" s="481" t="s">
        <v>157</v>
      </c>
    </row>
    <row r="184" spans="2:10" x14ac:dyDescent="0.2">
      <c r="B184" s="1" t="s">
        <v>435</v>
      </c>
      <c r="C184" s="481">
        <v>68</v>
      </c>
      <c r="D184" s="481">
        <v>72</v>
      </c>
      <c r="E184" s="481">
        <f t="shared" si="2"/>
        <v>70</v>
      </c>
      <c r="F184" s="481" t="s">
        <v>185</v>
      </c>
      <c r="H184" s="480" t="s">
        <v>434</v>
      </c>
      <c r="J184" s="481"/>
    </row>
    <row r="185" spans="2:10" x14ac:dyDescent="0.2">
      <c r="B185" s="1" t="s">
        <v>437</v>
      </c>
      <c r="C185" s="481">
        <v>66</v>
      </c>
      <c r="D185" s="481">
        <v>70</v>
      </c>
      <c r="E185" s="481">
        <f t="shared" si="2"/>
        <v>68</v>
      </c>
      <c r="F185" s="481" t="s">
        <v>185</v>
      </c>
      <c r="H185" s="480" t="s">
        <v>436</v>
      </c>
      <c r="I185" s="1">
        <v>75</v>
      </c>
      <c r="J185" s="481" t="s">
        <v>157</v>
      </c>
    </row>
    <row r="186" spans="2:10" x14ac:dyDescent="0.2">
      <c r="B186" s="1" t="s">
        <v>439</v>
      </c>
      <c r="C186" s="481">
        <v>70</v>
      </c>
      <c r="D186" s="481">
        <v>80</v>
      </c>
      <c r="E186" s="481">
        <f t="shared" si="2"/>
        <v>75</v>
      </c>
      <c r="F186" s="481" t="s">
        <v>185</v>
      </c>
      <c r="H186" s="1" t="s">
        <v>438</v>
      </c>
      <c r="I186" s="1">
        <v>76</v>
      </c>
      <c r="J186" s="481" t="s">
        <v>157</v>
      </c>
    </row>
    <row r="187" spans="2:10" x14ac:dyDescent="0.2">
      <c r="B187" s="1" t="s">
        <v>441</v>
      </c>
      <c r="C187" s="481">
        <v>66</v>
      </c>
      <c r="D187" s="481">
        <v>73</v>
      </c>
      <c r="E187" s="481">
        <f t="shared" si="2"/>
        <v>69.5</v>
      </c>
      <c r="F187" s="481" t="s">
        <v>185</v>
      </c>
      <c r="H187" s="1" t="s">
        <v>440</v>
      </c>
      <c r="I187" s="1">
        <v>72</v>
      </c>
      <c r="J187" s="481" t="s">
        <v>157</v>
      </c>
    </row>
    <row r="188" spans="2:10" x14ac:dyDescent="0.2">
      <c r="B188" s="1" t="s">
        <v>443</v>
      </c>
      <c r="C188" s="481">
        <v>73</v>
      </c>
      <c r="D188" s="481">
        <v>82</v>
      </c>
      <c r="E188" s="481">
        <f t="shared" si="2"/>
        <v>77.5</v>
      </c>
      <c r="F188" s="481" t="s">
        <v>185</v>
      </c>
      <c r="H188" s="1" t="s">
        <v>442</v>
      </c>
      <c r="I188" s="1">
        <v>71</v>
      </c>
      <c r="J188" s="481" t="s">
        <v>157</v>
      </c>
    </row>
    <row r="189" spans="2:10" x14ac:dyDescent="0.2">
      <c r="B189" s="1" t="s">
        <v>445</v>
      </c>
      <c r="C189" s="481">
        <v>70</v>
      </c>
      <c r="D189" s="481">
        <v>78</v>
      </c>
      <c r="E189" s="481">
        <f t="shared" si="2"/>
        <v>74</v>
      </c>
      <c r="F189" s="481" t="s">
        <v>185</v>
      </c>
      <c r="H189" s="1" t="s">
        <v>444</v>
      </c>
      <c r="I189" s="1">
        <v>74</v>
      </c>
      <c r="J189" s="481" t="s">
        <v>157</v>
      </c>
    </row>
    <row r="190" spans="2:10" x14ac:dyDescent="0.2">
      <c r="F190" s="481"/>
      <c r="H190" s="1" t="s">
        <v>446</v>
      </c>
      <c r="I190" s="1">
        <v>76.5</v>
      </c>
      <c r="J190" s="481" t="s">
        <v>157</v>
      </c>
    </row>
    <row r="191" spans="2:10" x14ac:dyDescent="0.2">
      <c r="B191" s="1" t="s">
        <v>326</v>
      </c>
      <c r="F191" s="481"/>
      <c r="H191" s="1" t="s">
        <v>447</v>
      </c>
      <c r="I191" s="1">
        <v>66.5</v>
      </c>
      <c r="J191" s="481" t="s">
        <v>157</v>
      </c>
    </row>
    <row r="192" spans="2:10" x14ac:dyDescent="0.2">
      <c r="B192" s="1" t="s">
        <v>449</v>
      </c>
      <c r="E192" s="481">
        <v>75</v>
      </c>
      <c r="F192" s="481" t="s">
        <v>157</v>
      </c>
      <c r="H192" s="1" t="s">
        <v>448</v>
      </c>
      <c r="I192" s="1">
        <v>75</v>
      </c>
      <c r="J192" s="481" t="s">
        <v>157</v>
      </c>
    </row>
    <row r="193" spans="2:10" x14ac:dyDescent="0.2">
      <c r="B193" s="1" t="s">
        <v>451</v>
      </c>
      <c r="E193" s="481">
        <v>75</v>
      </c>
      <c r="F193" s="481" t="s">
        <v>157</v>
      </c>
      <c r="H193" s="1" t="s">
        <v>450</v>
      </c>
      <c r="I193" s="1">
        <v>73</v>
      </c>
      <c r="J193" s="481" t="s">
        <v>185</v>
      </c>
    </row>
    <row r="194" spans="2:10" x14ac:dyDescent="0.2">
      <c r="B194" s="1" t="s">
        <v>453</v>
      </c>
      <c r="E194" s="481">
        <v>75</v>
      </c>
      <c r="F194" s="481" t="s">
        <v>157</v>
      </c>
      <c r="H194" s="1" t="s">
        <v>452</v>
      </c>
      <c r="I194" s="1">
        <v>95</v>
      </c>
      <c r="J194" s="481" t="s">
        <v>157</v>
      </c>
    </row>
    <row r="195" spans="2:10" x14ac:dyDescent="0.2">
      <c r="B195" s="1" t="s">
        <v>455</v>
      </c>
      <c r="E195" s="481">
        <v>75</v>
      </c>
      <c r="F195" s="481" t="s">
        <v>157</v>
      </c>
      <c r="H195" s="480" t="s">
        <v>454</v>
      </c>
      <c r="J195" s="481"/>
    </row>
    <row r="196" spans="2:10" x14ac:dyDescent="0.2">
      <c r="B196" s="1" t="s">
        <v>457</v>
      </c>
      <c r="E196" s="481">
        <v>75</v>
      </c>
      <c r="F196" s="481" t="s">
        <v>157</v>
      </c>
      <c r="H196" s="1" t="s">
        <v>456</v>
      </c>
      <c r="I196" s="1">
        <v>75</v>
      </c>
      <c r="J196" s="481" t="s">
        <v>155</v>
      </c>
    </row>
    <row r="197" spans="2:10" x14ac:dyDescent="0.2">
      <c r="B197" s="1" t="s">
        <v>459</v>
      </c>
      <c r="E197" s="481">
        <v>75</v>
      </c>
      <c r="F197" s="481" t="s">
        <v>157</v>
      </c>
      <c r="H197" s="480" t="s">
        <v>458</v>
      </c>
      <c r="I197" s="1">
        <v>73</v>
      </c>
      <c r="J197" s="481" t="s">
        <v>185</v>
      </c>
    </row>
    <row r="198" spans="2:10" x14ac:dyDescent="0.2">
      <c r="B198" s="1" t="s">
        <v>461</v>
      </c>
      <c r="E198" s="481">
        <v>75</v>
      </c>
      <c r="F198" s="481" t="s">
        <v>157</v>
      </c>
      <c r="H198" s="480" t="s">
        <v>460</v>
      </c>
      <c r="I198" s="1">
        <v>75</v>
      </c>
      <c r="J198" s="481" t="s">
        <v>185</v>
      </c>
    </row>
    <row r="199" spans="2:10" x14ac:dyDescent="0.2">
      <c r="B199" s="1" t="s">
        <v>463</v>
      </c>
      <c r="E199" s="481">
        <v>75</v>
      </c>
      <c r="F199" s="481" t="s">
        <v>157</v>
      </c>
      <c r="H199" s="480" t="s">
        <v>462</v>
      </c>
      <c r="I199" s="1">
        <v>74</v>
      </c>
      <c r="J199" s="481" t="s">
        <v>185</v>
      </c>
    </row>
    <row r="200" spans="2:10" x14ac:dyDescent="0.2">
      <c r="B200" s="1" t="s">
        <v>465</v>
      </c>
      <c r="E200" s="481">
        <v>75</v>
      </c>
      <c r="F200" s="481" t="s">
        <v>155</v>
      </c>
      <c r="H200" s="480" t="s">
        <v>464</v>
      </c>
      <c r="I200" s="1">
        <v>75</v>
      </c>
      <c r="J200" s="481" t="s">
        <v>185</v>
      </c>
    </row>
    <row r="201" spans="2:10" x14ac:dyDescent="0.2">
      <c r="B201" s="1" t="s">
        <v>467</v>
      </c>
      <c r="E201" s="481">
        <v>75</v>
      </c>
      <c r="F201" s="481" t="s">
        <v>185</v>
      </c>
      <c r="H201" s="480" t="s">
        <v>466</v>
      </c>
      <c r="I201" s="1">
        <v>72</v>
      </c>
      <c r="J201" s="481" t="s">
        <v>185</v>
      </c>
    </row>
    <row r="202" spans="2:10" x14ac:dyDescent="0.2">
      <c r="B202" s="1" t="s">
        <v>469</v>
      </c>
      <c r="E202" s="481">
        <v>75</v>
      </c>
      <c r="F202" s="481" t="s">
        <v>185</v>
      </c>
      <c r="H202" s="480" t="s">
        <v>1633</v>
      </c>
      <c r="I202" s="1">
        <v>75</v>
      </c>
      <c r="J202" s="481" t="s">
        <v>185</v>
      </c>
    </row>
    <row r="203" spans="2:10" x14ac:dyDescent="0.2">
      <c r="B203" s="1" t="s">
        <v>471</v>
      </c>
      <c r="E203" s="481">
        <v>75</v>
      </c>
      <c r="F203" s="481" t="s">
        <v>185</v>
      </c>
      <c r="H203" s="480" t="s">
        <v>468</v>
      </c>
      <c r="I203" s="1">
        <v>74.5</v>
      </c>
      <c r="J203" s="481" t="s">
        <v>185</v>
      </c>
    </row>
    <row r="204" spans="2:10" x14ac:dyDescent="0.2">
      <c r="B204" s="1" t="s">
        <v>473</v>
      </c>
      <c r="E204" s="481">
        <v>100</v>
      </c>
      <c r="F204" s="481" t="s">
        <v>157</v>
      </c>
      <c r="H204" s="480" t="s">
        <v>470</v>
      </c>
      <c r="I204" s="1">
        <v>73</v>
      </c>
      <c r="J204" s="481" t="s">
        <v>185</v>
      </c>
    </row>
    <row r="205" spans="2:10" x14ac:dyDescent="0.2">
      <c r="B205" s="1" t="s">
        <v>475</v>
      </c>
      <c r="E205" s="481">
        <v>100</v>
      </c>
      <c r="F205" s="481" t="s">
        <v>157</v>
      </c>
      <c r="H205" s="1" t="s">
        <v>472</v>
      </c>
      <c r="J205" s="481" t="s">
        <v>157</v>
      </c>
    </row>
    <row r="206" spans="2:10" x14ac:dyDescent="0.2">
      <c r="B206" s="1" t="s">
        <v>473</v>
      </c>
      <c r="E206" s="481">
        <v>15</v>
      </c>
      <c r="F206" s="481" t="s">
        <v>157</v>
      </c>
      <c r="H206" s="1" t="s">
        <v>474</v>
      </c>
      <c r="J206" s="481"/>
    </row>
    <row r="207" spans="2:10" x14ac:dyDescent="0.2">
      <c r="F207" s="481"/>
      <c r="H207" s="1" t="s">
        <v>476</v>
      </c>
      <c r="I207" s="1">
        <v>78.5</v>
      </c>
      <c r="J207" s="481" t="s">
        <v>157</v>
      </c>
    </row>
    <row r="208" spans="2:10" x14ac:dyDescent="0.2">
      <c r="B208" s="1" t="s">
        <v>474</v>
      </c>
      <c r="F208" s="481"/>
      <c r="H208" s="1" t="s">
        <v>477</v>
      </c>
      <c r="I208" s="1">
        <v>90</v>
      </c>
      <c r="J208" s="481" t="s">
        <v>157</v>
      </c>
    </row>
    <row r="209" spans="2:10" x14ac:dyDescent="0.2">
      <c r="B209" s="1" t="s">
        <v>272</v>
      </c>
      <c r="E209" s="481">
        <v>75</v>
      </c>
      <c r="F209" s="481" t="s">
        <v>157</v>
      </c>
      <c r="H209" s="1" t="s">
        <v>478</v>
      </c>
      <c r="I209" s="1">
        <v>75</v>
      </c>
      <c r="J209" s="481" t="s">
        <v>157</v>
      </c>
    </row>
    <row r="210" spans="2:10" x14ac:dyDescent="0.2">
      <c r="B210" s="1" t="s">
        <v>300</v>
      </c>
      <c r="E210" s="481">
        <v>75</v>
      </c>
      <c r="F210" s="481" t="s">
        <v>157</v>
      </c>
      <c r="H210" s="480" t="s">
        <v>479</v>
      </c>
      <c r="I210" s="1">
        <v>92.5</v>
      </c>
      <c r="J210" s="481" t="s">
        <v>157</v>
      </c>
    </row>
    <row r="211" spans="2:10" x14ac:dyDescent="0.2">
      <c r="B211" s="1" t="s">
        <v>310</v>
      </c>
      <c r="E211" s="481">
        <v>75</v>
      </c>
      <c r="F211" s="481" t="s">
        <v>157</v>
      </c>
      <c r="H211" s="1" t="s">
        <v>480</v>
      </c>
      <c r="I211" s="1">
        <v>78</v>
      </c>
      <c r="J211" s="481" t="s">
        <v>157</v>
      </c>
    </row>
    <row r="212" spans="2:10" x14ac:dyDescent="0.2">
      <c r="B212" s="1" t="s">
        <v>312</v>
      </c>
      <c r="E212" s="481">
        <v>75</v>
      </c>
      <c r="F212" s="481" t="s">
        <v>185</v>
      </c>
      <c r="H212" s="1" t="s">
        <v>481</v>
      </c>
      <c r="I212" s="1">
        <v>78</v>
      </c>
      <c r="J212" s="481" t="s">
        <v>157</v>
      </c>
    </row>
    <row r="213" spans="2:10" x14ac:dyDescent="0.2">
      <c r="B213" s="1" t="s">
        <v>316</v>
      </c>
      <c r="E213" s="481">
        <v>75</v>
      </c>
      <c r="F213" s="481" t="s">
        <v>157</v>
      </c>
      <c r="H213" s="1" t="s">
        <v>482</v>
      </c>
      <c r="I213" s="1">
        <v>75</v>
      </c>
      <c r="J213" s="481" t="s">
        <v>157</v>
      </c>
    </row>
    <row r="214" spans="2:10" x14ac:dyDescent="0.2">
      <c r="B214" s="1" t="s">
        <v>456</v>
      </c>
      <c r="E214" s="481">
        <v>75</v>
      </c>
      <c r="F214" s="481" t="s">
        <v>155</v>
      </c>
      <c r="H214" s="1" t="s">
        <v>483</v>
      </c>
      <c r="I214" s="1">
        <v>75</v>
      </c>
      <c r="J214" s="481" t="s">
        <v>157</v>
      </c>
    </row>
    <row r="215" spans="2:10" x14ac:dyDescent="0.2">
      <c r="B215" s="1" t="s">
        <v>478</v>
      </c>
      <c r="E215" s="481">
        <v>75</v>
      </c>
      <c r="F215" s="481" t="s">
        <v>157</v>
      </c>
      <c r="H215" s="1" t="s">
        <v>484</v>
      </c>
      <c r="I215" s="1">
        <v>75</v>
      </c>
      <c r="J215" s="481" t="s">
        <v>157</v>
      </c>
    </row>
    <row r="216" spans="2:10" x14ac:dyDescent="0.2">
      <c r="B216" s="1" t="s">
        <v>482</v>
      </c>
      <c r="E216" s="481">
        <v>75</v>
      </c>
      <c r="F216" s="481" t="s">
        <v>157</v>
      </c>
      <c r="H216" s="1" t="s">
        <v>485</v>
      </c>
      <c r="I216" s="1">
        <v>79</v>
      </c>
      <c r="J216" s="481" t="s">
        <v>157</v>
      </c>
    </row>
    <row r="217" spans="2:10" x14ac:dyDescent="0.2">
      <c r="B217" s="1" t="s">
        <v>484</v>
      </c>
      <c r="E217" s="481">
        <v>75</v>
      </c>
      <c r="F217" s="481" t="s">
        <v>157</v>
      </c>
      <c r="H217" s="1" t="s">
        <v>486</v>
      </c>
      <c r="I217" s="1">
        <v>75</v>
      </c>
      <c r="J217" s="481" t="s">
        <v>157</v>
      </c>
    </row>
    <row r="218" spans="2:10" x14ac:dyDescent="0.2">
      <c r="B218" s="1" t="s">
        <v>486</v>
      </c>
      <c r="E218" s="481">
        <v>75</v>
      </c>
      <c r="F218" s="481" t="s">
        <v>157</v>
      </c>
      <c r="H218" s="1" t="s">
        <v>487</v>
      </c>
      <c r="J218" s="481"/>
    </row>
    <row r="219" spans="2:10" x14ac:dyDescent="0.2">
      <c r="B219" s="1" t="s">
        <v>490</v>
      </c>
      <c r="E219" s="481">
        <v>75</v>
      </c>
      <c r="F219" s="481" t="s">
        <v>157</v>
      </c>
      <c r="H219" s="1" t="s">
        <v>488</v>
      </c>
      <c r="I219" s="1">
        <v>76.5</v>
      </c>
      <c r="J219" s="481" t="s">
        <v>157</v>
      </c>
    </row>
    <row r="220" spans="2:10" x14ac:dyDescent="0.2">
      <c r="B220" s="1" t="s">
        <v>492</v>
      </c>
      <c r="E220" s="481">
        <v>75</v>
      </c>
      <c r="F220" s="481" t="s">
        <v>157</v>
      </c>
      <c r="H220" s="1" t="s">
        <v>489</v>
      </c>
      <c r="I220" s="1">
        <v>72</v>
      </c>
      <c r="J220" s="481" t="s">
        <v>157</v>
      </c>
    </row>
    <row r="221" spans="2:10" x14ac:dyDescent="0.2">
      <c r="B221" s="1" t="s">
        <v>494</v>
      </c>
      <c r="E221" s="481">
        <v>75</v>
      </c>
      <c r="F221" s="481" t="s">
        <v>157</v>
      </c>
      <c r="H221" s="1" t="s">
        <v>491</v>
      </c>
      <c r="I221" s="1">
        <v>75</v>
      </c>
      <c r="J221" s="481" t="s">
        <v>157</v>
      </c>
    </row>
    <row r="222" spans="2:10" x14ac:dyDescent="0.2">
      <c r="B222" s="1" t="s">
        <v>496</v>
      </c>
      <c r="E222" s="481">
        <v>75</v>
      </c>
      <c r="F222" s="481" t="s">
        <v>157</v>
      </c>
      <c r="H222" s="1" t="s">
        <v>493</v>
      </c>
      <c r="I222" s="1">
        <v>73</v>
      </c>
      <c r="J222" s="481" t="s">
        <v>157</v>
      </c>
    </row>
    <row r="223" spans="2:10" x14ac:dyDescent="0.2">
      <c r="F223" s="481"/>
      <c r="H223" s="1" t="s">
        <v>495</v>
      </c>
      <c r="I223" s="1">
        <v>74.5</v>
      </c>
      <c r="J223" s="481" t="s">
        <v>157</v>
      </c>
    </row>
    <row r="224" spans="2:10" x14ac:dyDescent="0.2">
      <c r="B224" s="1" t="s">
        <v>499</v>
      </c>
      <c r="F224" s="481"/>
      <c r="H224" s="1" t="s">
        <v>497</v>
      </c>
      <c r="I224" s="1">
        <v>69</v>
      </c>
      <c r="J224" s="481" t="s">
        <v>157</v>
      </c>
    </row>
    <row r="225" spans="2:10" x14ac:dyDescent="0.2">
      <c r="B225" s="1" t="s">
        <v>426</v>
      </c>
      <c r="C225" s="481">
        <v>79</v>
      </c>
      <c r="D225" s="481">
        <v>83</v>
      </c>
      <c r="E225" s="481">
        <f>AVERAGE(C225:D225)</f>
        <v>81</v>
      </c>
      <c r="F225" s="481" t="s">
        <v>157</v>
      </c>
      <c r="H225" s="1" t="s">
        <v>498</v>
      </c>
      <c r="I225" s="481">
        <v>75</v>
      </c>
      <c r="J225" s="481" t="s">
        <v>157</v>
      </c>
    </row>
    <row r="226" spans="2:10" x14ac:dyDescent="0.2">
      <c r="B226" s="1" t="s">
        <v>428</v>
      </c>
      <c r="C226" s="481">
        <v>81</v>
      </c>
      <c r="D226" s="481">
        <v>85</v>
      </c>
      <c r="E226" s="481">
        <f>AVERAGE(C226:D226)</f>
        <v>83</v>
      </c>
      <c r="F226" s="481" t="s">
        <v>157</v>
      </c>
      <c r="H226" s="1" t="s">
        <v>500</v>
      </c>
      <c r="I226" s="481">
        <v>78.5</v>
      </c>
      <c r="J226" s="481" t="s">
        <v>157</v>
      </c>
    </row>
    <row r="227" spans="2:10" x14ac:dyDescent="0.2">
      <c r="B227" s="1" t="s">
        <v>503</v>
      </c>
      <c r="C227" s="481">
        <v>77</v>
      </c>
      <c r="D227" s="481">
        <v>83</v>
      </c>
      <c r="E227" s="481">
        <f t="shared" ref="E227:E336" si="3">AVERAGE(C227:D227)</f>
        <v>80</v>
      </c>
      <c r="F227" s="481" t="s">
        <v>157</v>
      </c>
      <c r="H227" s="1" t="s">
        <v>501</v>
      </c>
      <c r="I227" s="481">
        <v>85</v>
      </c>
      <c r="J227" s="481" t="s">
        <v>157</v>
      </c>
    </row>
    <row r="228" spans="2:10" x14ac:dyDescent="0.2">
      <c r="B228" s="1" t="s">
        <v>481</v>
      </c>
      <c r="C228" s="481">
        <v>76</v>
      </c>
      <c r="D228" s="481">
        <v>80</v>
      </c>
      <c r="E228" s="481">
        <f t="shared" si="3"/>
        <v>78</v>
      </c>
      <c r="F228" s="481" t="s">
        <v>157</v>
      </c>
      <c r="H228" s="1" t="s">
        <v>502</v>
      </c>
      <c r="I228" s="1">
        <v>76</v>
      </c>
      <c r="J228" s="481" t="s">
        <v>157</v>
      </c>
    </row>
    <row r="229" spans="2:10" x14ac:dyDescent="0.2">
      <c r="B229" s="1" t="s">
        <v>506</v>
      </c>
      <c r="C229" s="481">
        <v>81</v>
      </c>
      <c r="D229" s="481">
        <v>100</v>
      </c>
      <c r="E229" s="481">
        <f t="shared" si="3"/>
        <v>90.5</v>
      </c>
      <c r="F229" s="481" t="s">
        <v>157</v>
      </c>
      <c r="H229" s="1" t="s">
        <v>504</v>
      </c>
      <c r="I229" s="481">
        <v>74</v>
      </c>
      <c r="J229" s="481" t="s">
        <v>157</v>
      </c>
    </row>
    <row r="230" spans="2:10" x14ac:dyDescent="0.2">
      <c r="B230" s="1" t="s">
        <v>508</v>
      </c>
      <c r="C230" s="481">
        <v>80</v>
      </c>
      <c r="D230" s="481">
        <v>82</v>
      </c>
      <c r="E230" s="481">
        <f t="shared" si="3"/>
        <v>81</v>
      </c>
      <c r="F230" s="481" t="s">
        <v>157</v>
      </c>
      <c r="H230" s="1" t="s">
        <v>505</v>
      </c>
      <c r="I230" s="481">
        <v>82.5</v>
      </c>
      <c r="J230" s="481" t="s">
        <v>157</v>
      </c>
    </row>
    <row r="231" spans="2:10" x14ac:dyDescent="0.2">
      <c r="B231" s="1" t="s">
        <v>510</v>
      </c>
      <c r="C231" s="481">
        <v>82</v>
      </c>
      <c r="D231" s="481">
        <v>84</v>
      </c>
      <c r="E231" s="481">
        <f t="shared" si="3"/>
        <v>83</v>
      </c>
      <c r="F231" s="481" t="s">
        <v>157</v>
      </c>
      <c r="H231" s="1" t="s">
        <v>507</v>
      </c>
      <c r="I231" s="1">
        <v>76.5</v>
      </c>
      <c r="J231" s="481" t="s">
        <v>157</v>
      </c>
    </row>
    <row r="232" spans="2:10" x14ac:dyDescent="0.2">
      <c r="B232" s="1" t="s">
        <v>512</v>
      </c>
      <c r="C232" s="481">
        <v>78</v>
      </c>
      <c r="D232" s="481">
        <v>84</v>
      </c>
      <c r="E232" s="481">
        <f t="shared" si="3"/>
        <v>81</v>
      </c>
      <c r="F232" s="481" t="s">
        <v>157</v>
      </c>
      <c r="H232" s="1" t="s">
        <v>509</v>
      </c>
      <c r="I232" s="1">
        <v>75</v>
      </c>
      <c r="J232" s="481" t="s">
        <v>157</v>
      </c>
    </row>
    <row r="233" spans="2:10" x14ac:dyDescent="0.2">
      <c r="B233" s="1" t="s">
        <v>514</v>
      </c>
      <c r="C233" s="481">
        <v>85</v>
      </c>
      <c r="D233" s="481">
        <v>100</v>
      </c>
      <c r="E233" s="481">
        <f t="shared" si="3"/>
        <v>92.5</v>
      </c>
      <c r="F233" s="481" t="s">
        <v>157</v>
      </c>
      <c r="H233" s="1" t="s">
        <v>511</v>
      </c>
      <c r="I233" s="1">
        <v>76</v>
      </c>
      <c r="J233" s="481" t="s">
        <v>157</v>
      </c>
    </row>
    <row r="234" spans="2:10" x14ac:dyDescent="0.2">
      <c r="B234" s="1" t="s">
        <v>328</v>
      </c>
      <c r="C234" s="481">
        <v>80</v>
      </c>
      <c r="D234" s="481">
        <v>90</v>
      </c>
      <c r="E234" s="481">
        <f t="shared" si="3"/>
        <v>85</v>
      </c>
      <c r="F234" s="481" t="s">
        <v>157</v>
      </c>
      <c r="H234" s="1" t="s">
        <v>513</v>
      </c>
      <c r="I234" s="1">
        <v>80</v>
      </c>
      <c r="J234" s="481" t="s">
        <v>157</v>
      </c>
    </row>
    <row r="235" spans="2:10" x14ac:dyDescent="0.2">
      <c r="B235" s="1" t="s">
        <v>318</v>
      </c>
      <c r="C235" s="481">
        <v>85</v>
      </c>
      <c r="D235" s="481">
        <v>100</v>
      </c>
      <c r="E235" s="481">
        <f t="shared" si="3"/>
        <v>92.5</v>
      </c>
      <c r="F235" s="481" t="s">
        <v>157</v>
      </c>
      <c r="H235" s="1" t="s">
        <v>515</v>
      </c>
      <c r="I235" s="1">
        <v>78.5</v>
      </c>
      <c r="J235" s="481" t="s">
        <v>157</v>
      </c>
    </row>
    <row r="236" spans="2:10" x14ac:dyDescent="0.2">
      <c r="B236" s="1" t="s">
        <v>485</v>
      </c>
      <c r="C236" s="481">
        <v>77</v>
      </c>
      <c r="D236" s="481">
        <v>81</v>
      </c>
      <c r="E236" s="481">
        <f t="shared" si="3"/>
        <v>79</v>
      </c>
      <c r="F236" s="481" t="s">
        <v>157</v>
      </c>
      <c r="H236" s="1" t="s">
        <v>516</v>
      </c>
      <c r="I236" s="1">
        <v>78.5</v>
      </c>
      <c r="J236" s="481" t="s">
        <v>157</v>
      </c>
    </row>
    <row r="237" spans="2:10" x14ac:dyDescent="0.2">
      <c r="B237" s="1" t="s">
        <v>330</v>
      </c>
      <c r="C237" s="481">
        <v>78</v>
      </c>
      <c r="D237" s="481">
        <v>82</v>
      </c>
      <c r="E237" s="481">
        <f t="shared" si="3"/>
        <v>80</v>
      </c>
      <c r="F237" s="481" t="s">
        <v>157</v>
      </c>
      <c r="H237" s="1" t="s">
        <v>517</v>
      </c>
      <c r="I237" s="1">
        <v>78.5</v>
      </c>
      <c r="J237" s="481" t="s">
        <v>157</v>
      </c>
    </row>
    <row r="238" spans="2:10" x14ac:dyDescent="0.2">
      <c r="B238" s="1" t="s">
        <v>432</v>
      </c>
      <c r="C238" s="481">
        <v>77</v>
      </c>
      <c r="D238" s="481">
        <v>81</v>
      </c>
      <c r="E238" s="481">
        <f t="shared" si="3"/>
        <v>79</v>
      </c>
      <c r="F238" s="481" t="s">
        <v>157</v>
      </c>
      <c r="H238" s="1" t="s">
        <v>518</v>
      </c>
      <c r="I238" s="1">
        <v>78.5</v>
      </c>
      <c r="J238" s="481" t="s">
        <v>157</v>
      </c>
    </row>
    <row r="239" spans="2:10" x14ac:dyDescent="0.2">
      <c r="B239" s="1" t="s">
        <v>476</v>
      </c>
      <c r="C239" s="481">
        <v>75</v>
      </c>
      <c r="D239" s="481">
        <v>82</v>
      </c>
      <c r="E239" s="481">
        <f t="shared" si="3"/>
        <v>78.5</v>
      </c>
      <c r="F239" s="481" t="s">
        <v>157</v>
      </c>
      <c r="H239" s="1" t="s">
        <v>519</v>
      </c>
      <c r="I239" s="1">
        <v>74</v>
      </c>
      <c r="J239" s="481" t="s">
        <v>185</v>
      </c>
    </row>
    <row r="240" spans="2:10" x14ac:dyDescent="0.2">
      <c r="B240" s="1" t="s">
        <v>480</v>
      </c>
      <c r="C240" s="481">
        <v>76</v>
      </c>
      <c r="D240" s="481">
        <v>80</v>
      </c>
      <c r="E240" s="481">
        <f t="shared" si="3"/>
        <v>78</v>
      </c>
      <c r="F240" s="481" t="s">
        <v>157</v>
      </c>
      <c r="H240" s="1" t="s">
        <v>520</v>
      </c>
      <c r="I240" s="1">
        <v>75</v>
      </c>
      <c r="J240" s="481" t="s">
        <v>185</v>
      </c>
    </row>
    <row r="241" spans="2:10" x14ac:dyDescent="0.2">
      <c r="B241" s="1" t="s">
        <v>523</v>
      </c>
      <c r="C241" s="481">
        <v>78</v>
      </c>
      <c r="D241" s="481">
        <v>83</v>
      </c>
      <c r="E241" s="481">
        <f t="shared" si="3"/>
        <v>80.5</v>
      </c>
      <c r="F241" s="481" t="s">
        <v>157</v>
      </c>
      <c r="H241" s="1" t="s">
        <v>521</v>
      </c>
      <c r="I241" s="1">
        <v>75</v>
      </c>
      <c r="J241" s="481" t="s">
        <v>185</v>
      </c>
    </row>
    <row r="242" spans="2:10" x14ac:dyDescent="0.2">
      <c r="B242" s="1" t="s">
        <v>525</v>
      </c>
      <c r="C242" s="481">
        <v>76</v>
      </c>
      <c r="D242" s="481">
        <v>82</v>
      </c>
      <c r="E242" s="481">
        <f t="shared" si="3"/>
        <v>79</v>
      </c>
      <c r="F242" s="481" t="s">
        <v>157</v>
      </c>
      <c r="H242" s="1" t="s">
        <v>522</v>
      </c>
      <c r="I242" s="1">
        <v>73</v>
      </c>
      <c r="J242" s="481" t="s">
        <v>185</v>
      </c>
    </row>
    <row r="243" spans="2:10" x14ac:dyDescent="0.2">
      <c r="B243" s="1" t="s">
        <v>527</v>
      </c>
      <c r="C243" s="481">
        <v>90</v>
      </c>
      <c r="D243" s="481">
        <v>100</v>
      </c>
      <c r="E243" s="481">
        <f t="shared" si="3"/>
        <v>95</v>
      </c>
      <c r="F243" s="481" t="s">
        <v>157</v>
      </c>
      <c r="H243" s="1" t="s">
        <v>524</v>
      </c>
      <c r="I243" s="1">
        <v>74</v>
      </c>
      <c r="J243" s="481" t="s">
        <v>185</v>
      </c>
    </row>
    <row r="244" spans="2:10" x14ac:dyDescent="0.2">
      <c r="B244" s="1" t="s">
        <v>332</v>
      </c>
      <c r="C244" s="481">
        <v>74</v>
      </c>
      <c r="D244" s="481">
        <v>78</v>
      </c>
      <c r="E244" s="481">
        <f t="shared" si="3"/>
        <v>76</v>
      </c>
      <c r="F244" s="481" t="s">
        <v>185</v>
      </c>
      <c r="H244" s="1" t="s">
        <v>526</v>
      </c>
      <c r="I244" s="1">
        <v>74</v>
      </c>
      <c r="J244" s="481" t="s">
        <v>185</v>
      </c>
    </row>
    <row r="245" spans="2:10" x14ac:dyDescent="0.2">
      <c r="B245" s="1" t="s">
        <v>430</v>
      </c>
      <c r="C245" s="481">
        <v>73</v>
      </c>
      <c r="D245" s="481">
        <v>76</v>
      </c>
      <c r="E245" s="481">
        <f t="shared" si="3"/>
        <v>74.5</v>
      </c>
      <c r="F245" s="481" t="s">
        <v>157</v>
      </c>
      <c r="H245" s="1" t="s">
        <v>528</v>
      </c>
      <c r="I245" s="1">
        <v>86</v>
      </c>
      <c r="J245" s="481" t="s">
        <v>157</v>
      </c>
    </row>
    <row r="246" spans="2:10" x14ac:dyDescent="0.2">
      <c r="B246" s="1" t="s">
        <v>274</v>
      </c>
      <c r="C246" s="481">
        <v>85</v>
      </c>
      <c r="D246" s="481">
        <v>100</v>
      </c>
      <c r="E246" s="481">
        <f t="shared" si="3"/>
        <v>92.5</v>
      </c>
      <c r="F246" s="481" t="s">
        <v>157</v>
      </c>
      <c r="H246" s="1" t="s">
        <v>529</v>
      </c>
      <c r="I246" s="1">
        <v>92.5</v>
      </c>
      <c r="J246" s="481" t="s">
        <v>157</v>
      </c>
    </row>
    <row r="247" spans="2:10" x14ac:dyDescent="0.2">
      <c r="B247" s="1" t="s">
        <v>276</v>
      </c>
      <c r="C247" s="481">
        <v>82</v>
      </c>
      <c r="D247" s="481">
        <v>86</v>
      </c>
      <c r="E247" s="481">
        <f t="shared" si="3"/>
        <v>84</v>
      </c>
      <c r="F247" s="481" t="s">
        <v>157</v>
      </c>
      <c r="H247" s="1" t="s">
        <v>530</v>
      </c>
      <c r="I247" s="1">
        <v>83</v>
      </c>
      <c r="J247" s="481" t="s">
        <v>157</v>
      </c>
    </row>
    <row r="248" spans="2:10" x14ac:dyDescent="0.2">
      <c r="B248" s="1" t="s">
        <v>298</v>
      </c>
      <c r="C248" s="481">
        <v>82</v>
      </c>
      <c r="D248" s="481">
        <v>85</v>
      </c>
      <c r="E248" s="481">
        <f t="shared" si="3"/>
        <v>83.5</v>
      </c>
      <c r="F248" s="481" t="s">
        <v>157</v>
      </c>
      <c r="H248" s="1" t="s">
        <v>531</v>
      </c>
      <c r="I248" s="1">
        <v>92.5</v>
      </c>
      <c r="J248" s="481" t="s">
        <v>157</v>
      </c>
    </row>
    <row r="249" spans="2:10" x14ac:dyDescent="0.2">
      <c r="B249" s="1" t="s">
        <v>308</v>
      </c>
      <c r="C249" s="481">
        <v>80</v>
      </c>
      <c r="D249" s="481">
        <v>100</v>
      </c>
      <c r="E249" s="481">
        <f t="shared" si="3"/>
        <v>90</v>
      </c>
      <c r="F249" s="481" t="s">
        <v>157</v>
      </c>
      <c r="H249" s="1" t="s">
        <v>532</v>
      </c>
      <c r="I249" s="1">
        <v>92.5</v>
      </c>
      <c r="J249" s="481" t="s">
        <v>157</v>
      </c>
    </row>
    <row r="250" spans="2:10" x14ac:dyDescent="0.2">
      <c r="B250" s="1" t="s">
        <v>477</v>
      </c>
      <c r="C250" s="481">
        <v>80</v>
      </c>
      <c r="D250" s="481">
        <v>100</v>
      </c>
      <c r="E250" s="481">
        <f t="shared" si="3"/>
        <v>90</v>
      </c>
      <c r="F250" s="481" t="s">
        <v>157</v>
      </c>
      <c r="H250" s="480" t="s">
        <v>533</v>
      </c>
      <c r="I250" s="1">
        <v>80</v>
      </c>
      <c r="J250" s="481" t="s">
        <v>157</v>
      </c>
    </row>
    <row r="251" spans="2:10" x14ac:dyDescent="0.2">
      <c r="B251" s="1" t="s">
        <v>302</v>
      </c>
      <c r="C251" s="481">
        <v>82</v>
      </c>
      <c r="D251" s="481">
        <v>88</v>
      </c>
      <c r="E251" s="481">
        <f t="shared" si="3"/>
        <v>85</v>
      </c>
      <c r="F251" s="481" t="s">
        <v>157</v>
      </c>
      <c r="H251" s="1" t="s">
        <v>534</v>
      </c>
      <c r="I251" s="1">
        <v>92.5</v>
      </c>
      <c r="J251" s="481" t="s">
        <v>157</v>
      </c>
    </row>
    <row r="252" spans="2:10" x14ac:dyDescent="0.2">
      <c r="B252" s="1" t="s">
        <v>304</v>
      </c>
      <c r="C252" s="481">
        <v>80</v>
      </c>
      <c r="D252" s="481">
        <v>82</v>
      </c>
      <c r="E252" s="481">
        <f t="shared" si="3"/>
        <v>81</v>
      </c>
      <c r="F252" s="481" t="s">
        <v>157</v>
      </c>
      <c r="H252" s="1" t="s">
        <v>535</v>
      </c>
      <c r="I252" s="1">
        <v>75</v>
      </c>
      <c r="J252" s="481" t="s">
        <v>157</v>
      </c>
    </row>
    <row r="253" spans="2:10" x14ac:dyDescent="0.2">
      <c r="B253" s="1" t="s">
        <v>306</v>
      </c>
      <c r="C253" s="481">
        <v>80</v>
      </c>
      <c r="D253" s="481">
        <v>82</v>
      </c>
      <c r="E253" s="481">
        <f t="shared" si="3"/>
        <v>81</v>
      </c>
      <c r="F253" s="481" t="s">
        <v>157</v>
      </c>
      <c r="H253" s="480" t="s">
        <v>536</v>
      </c>
      <c r="I253" s="1">
        <v>78.5</v>
      </c>
      <c r="J253" s="481" t="s">
        <v>157</v>
      </c>
    </row>
    <row r="254" spans="2:10" x14ac:dyDescent="0.2">
      <c r="B254" s="1" t="s">
        <v>539</v>
      </c>
      <c r="C254" s="481">
        <v>80</v>
      </c>
      <c r="D254" s="481">
        <v>100</v>
      </c>
      <c r="E254" s="481">
        <f t="shared" si="3"/>
        <v>90</v>
      </c>
      <c r="F254" s="481" t="s">
        <v>157</v>
      </c>
      <c r="H254" s="480" t="s">
        <v>537</v>
      </c>
      <c r="I254" s="1">
        <v>73</v>
      </c>
      <c r="J254" s="481" t="s">
        <v>157</v>
      </c>
    </row>
    <row r="255" spans="2:10" x14ac:dyDescent="0.2">
      <c r="B255" s="1" t="s">
        <v>541</v>
      </c>
      <c r="C255" s="481">
        <v>82</v>
      </c>
      <c r="D255" s="481">
        <v>85</v>
      </c>
      <c r="E255" s="481">
        <f t="shared" si="3"/>
        <v>83.5</v>
      </c>
      <c r="F255" s="481" t="s">
        <v>157</v>
      </c>
      <c r="H255" s="480" t="s">
        <v>538</v>
      </c>
      <c r="I255" s="1">
        <v>85</v>
      </c>
      <c r="J255" s="481" t="s">
        <v>157</v>
      </c>
    </row>
    <row r="256" spans="2:10" x14ac:dyDescent="0.2">
      <c r="B256" s="1" t="s">
        <v>334</v>
      </c>
      <c r="C256" s="481">
        <v>78</v>
      </c>
      <c r="D256" s="481">
        <v>95</v>
      </c>
      <c r="E256" s="481">
        <f t="shared" si="3"/>
        <v>86.5</v>
      </c>
      <c r="F256" s="481" t="s">
        <v>157</v>
      </c>
      <c r="H256" s="480" t="s">
        <v>540</v>
      </c>
      <c r="I256" s="1">
        <v>87.5</v>
      </c>
      <c r="J256" s="481" t="s">
        <v>157</v>
      </c>
    </row>
    <row r="257" spans="2:10" x14ac:dyDescent="0.2">
      <c r="B257" s="1" t="s">
        <v>479</v>
      </c>
      <c r="C257" s="481">
        <v>85</v>
      </c>
      <c r="D257" s="481">
        <v>100</v>
      </c>
      <c r="E257" s="481">
        <f t="shared" si="3"/>
        <v>92.5</v>
      </c>
      <c r="F257" s="481" t="s">
        <v>157</v>
      </c>
      <c r="H257" s="480" t="s">
        <v>542</v>
      </c>
      <c r="J257" s="481" t="s">
        <v>157</v>
      </c>
    </row>
    <row r="258" spans="2:10" x14ac:dyDescent="0.2">
      <c r="B258" s="1" t="s">
        <v>324</v>
      </c>
      <c r="C258" s="481">
        <v>80</v>
      </c>
      <c r="D258" s="481">
        <v>100</v>
      </c>
      <c r="E258" s="481">
        <f t="shared" si="3"/>
        <v>90</v>
      </c>
      <c r="F258" s="481" t="s">
        <v>157</v>
      </c>
      <c r="H258" s="484" t="s">
        <v>527</v>
      </c>
      <c r="I258" s="1">
        <v>95</v>
      </c>
      <c r="J258" s="481" t="s">
        <v>157</v>
      </c>
    </row>
    <row r="259" spans="2:10" x14ac:dyDescent="0.2">
      <c r="B259" s="1" t="s">
        <v>472</v>
      </c>
      <c r="F259" s="481" t="s">
        <v>157</v>
      </c>
      <c r="H259" s="1" t="s">
        <v>238</v>
      </c>
      <c r="I259" s="1">
        <v>80</v>
      </c>
      <c r="J259" s="481" t="s">
        <v>157</v>
      </c>
    </row>
    <row r="260" spans="2:10" x14ac:dyDescent="0.2">
      <c r="F260" s="481"/>
      <c r="H260" s="1" t="s">
        <v>543</v>
      </c>
      <c r="I260" s="1">
        <v>63</v>
      </c>
      <c r="J260" s="1" t="s">
        <v>157</v>
      </c>
    </row>
    <row r="261" spans="2:10" x14ac:dyDescent="0.2">
      <c r="B261" s="1" t="s">
        <v>487</v>
      </c>
      <c r="F261" s="481"/>
      <c r="H261" s="1" t="s">
        <v>451</v>
      </c>
      <c r="I261" s="1">
        <v>75</v>
      </c>
      <c r="J261" s="481" t="s">
        <v>157</v>
      </c>
    </row>
    <row r="262" spans="2:10" x14ac:dyDescent="0.2">
      <c r="B262" s="1" t="s">
        <v>488</v>
      </c>
      <c r="C262" s="481">
        <v>73</v>
      </c>
      <c r="D262" s="481">
        <v>80</v>
      </c>
      <c r="E262" s="481">
        <f t="shared" si="3"/>
        <v>76.5</v>
      </c>
      <c r="F262" s="481" t="s">
        <v>157</v>
      </c>
      <c r="H262" s="1" t="s">
        <v>453</v>
      </c>
      <c r="I262" s="1">
        <v>75</v>
      </c>
      <c r="J262" s="481" t="s">
        <v>157</v>
      </c>
    </row>
    <row r="263" spans="2:10" x14ac:dyDescent="0.2">
      <c r="B263" s="1" t="s">
        <v>489</v>
      </c>
      <c r="C263" s="481">
        <v>69</v>
      </c>
      <c r="D263" s="481">
        <v>75</v>
      </c>
      <c r="E263" s="481">
        <f t="shared" si="3"/>
        <v>72</v>
      </c>
      <c r="F263" s="481" t="s">
        <v>157</v>
      </c>
      <c r="H263" s="1" t="s">
        <v>455</v>
      </c>
      <c r="I263" s="481">
        <v>75</v>
      </c>
      <c r="J263" s="481" t="s">
        <v>157</v>
      </c>
    </row>
    <row r="264" spans="2:10" x14ac:dyDescent="0.2">
      <c r="B264" s="1" t="s">
        <v>491</v>
      </c>
      <c r="C264" s="481">
        <v>70</v>
      </c>
      <c r="D264" s="481">
        <v>80</v>
      </c>
      <c r="E264" s="481">
        <f t="shared" si="3"/>
        <v>75</v>
      </c>
      <c r="F264" s="481" t="s">
        <v>157</v>
      </c>
      <c r="H264" s="1" t="s">
        <v>457</v>
      </c>
      <c r="I264" s="1">
        <v>75</v>
      </c>
      <c r="J264" s="481" t="s">
        <v>157</v>
      </c>
    </row>
    <row r="265" spans="2:10" x14ac:dyDescent="0.2">
      <c r="B265" s="1" t="s">
        <v>493</v>
      </c>
      <c r="C265" s="481">
        <v>71</v>
      </c>
      <c r="D265" s="481">
        <v>75</v>
      </c>
      <c r="E265" s="481">
        <f>AVERAGE(C265:D265)</f>
        <v>73</v>
      </c>
      <c r="F265" s="481" t="s">
        <v>157</v>
      </c>
      <c r="H265" s="1" t="s">
        <v>459</v>
      </c>
      <c r="I265" s="1">
        <v>75</v>
      </c>
      <c r="J265" s="481" t="s">
        <v>157</v>
      </c>
    </row>
    <row r="266" spans="2:10" x14ac:dyDescent="0.2">
      <c r="B266" s="1" t="s">
        <v>495</v>
      </c>
      <c r="C266" s="481">
        <v>73</v>
      </c>
      <c r="D266" s="481">
        <v>76</v>
      </c>
      <c r="E266" s="481">
        <f>AVERAGE(C266:D266)</f>
        <v>74.5</v>
      </c>
      <c r="F266" s="481" t="s">
        <v>157</v>
      </c>
      <c r="H266" s="1" t="s">
        <v>461</v>
      </c>
      <c r="I266" s="1">
        <v>75</v>
      </c>
      <c r="J266" s="481" t="s">
        <v>157</v>
      </c>
    </row>
    <row r="267" spans="2:10" x14ac:dyDescent="0.2">
      <c r="B267" s="1" t="s">
        <v>497</v>
      </c>
      <c r="C267" s="481">
        <v>67</v>
      </c>
      <c r="D267" s="481">
        <v>71</v>
      </c>
      <c r="E267" s="481">
        <f t="shared" si="3"/>
        <v>69</v>
      </c>
      <c r="F267" s="481" t="s">
        <v>157</v>
      </c>
      <c r="H267" s="1" t="s">
        <v>463</v>
      </c>
      <c r="I267" s="1">
        <v>75</v>
      </c>
      <c r="J267" s="481" t="s">
        <v>157</v>
      </c>
    </row>
    <row r="268" spans="2:10" x14ac:dyDescent="0.2">
      <c r="B268" s="1" t="s">
        <v>498</v>
      </c>
      <c r="C268" s="481">
        <v>73</v>
      </c>
      <c r="D268" s="481">
        <v>77</v>
      </c>
      <c r="E268" s="481">
        <f t="shared" si="3"/>
        <v>75</v>
      </c>
      <c r="F268" s="481" t="s">
        <v>157</v>
      </c>
      <c r="H268" s="1" t="s">
        <v>465</v>
      </c>
      <c r="I268" s="1">
        <v>75</v>
      </c>
      <c r="J268" s="481" t="s">
        <v>155</v>
      </c>
    </row>
    <row r="269" spans="2:10" x14ac:dyDescent="0.2">
      <c r="B269" s="1" t="s">
        <v>500</v>
      </c>
      <c r="C269" s="481">
        <v>72</v>
      </c>
      <c r="D269" s="481">
        <v>85</v>
      </c>
      <c r="E269" s="481">
        <f t="shared" si="3"/>
        <v>78.5</v>
      </c>
      <c r="F269" s="481" t="s">
        <v>157</v>
      </c>
      <c r="H269" s="1" t="s">
        <v>449</v>
      </c>
      <c r="I269" s="1">
        <v>75</v>
      </c>
      <c r="J269" s="481" t="s">
        <v>157</v>
      </c>
    </row>
    <row r="270" spans="2:10" x14ac:dyDescent="0.2">
      <c r="B270" s="1" t="s">
        <v>501</v>
      </c>
      <c r="C270" s="481">
        <v>80</v>
      </c>
      <c r="D270" s="481">
        <v>90</v>
      </c>
      <c r="E270" s="481">
        <f t="shared" si="3"/>
        <v>85</v>
      </c>
      <c r="F270" s="481" t="s">
        <v>157</v>
      </c>
      <c r="H270" s="1" t="s">
        <v>475</v>
      </c>
      <c r="I270" s="1">
        <v>100</v>
      </c>
      <c r="J270" s="481" t="s">
        <v>157</v>
      </c>
    </row>
    <row r="271" spans="2:10" x14ac:dyDescent="0.2">
      <c r="B271" s="1" t="s">
        <v>502</v>
      </c>
      <c r="C271" s="481">
        <v>74</v>
      </c>
      <c r="D271" s="481">
        <v>78</v>
      </c>
      <c r="E271" s="481">
        <f t="shared" si="3"/>
        <v>76</v>
      </c>
      <c r="F271" s="481" t="s">
        <v>157</v>
      </c>
      <c r="H271" s="1" t="s">
        <v>473</v>
      </c>
      <c r="I271" s="481">
        <v>100</v>
      </c>
      <c r="J271" s="481" t="s">
        <v>157</v>
      </c>
    </row>
    <row r="272" spans="2:10" x14ac:dyDescent="0.2">
      <c r="B272" s="1" t="s">
        <v>504</v>
      </c>
      <c r="C272" s="481">
        <v>72</v>
      </c>
      <c r="D272" s="481">
        <v>76</v>
      </c>
      <c r="E272" s="481">
        <f t="shared" si="3"/>
        <v>74</v>
      </c>
      <c r="F272" s="481" t="s">
        <v>157</v>
      </c>
      <c r="H272" s="1" t="s">
        <v>473</v>
      </c>
      <c r="I272" s="1">
        <v>15</v>
      </c>
      <c r="J272" s="481" t="s">
        <v>157</v>
      </c>
    </row>
    <row r="273" spans="2:10" x14ac:dyDescent="0.2">
      <c r="B273" s="1" t="s">
        <v>505</v>
      </c>
      <c r="C273" s="481">
        <v>80</v>
      </c>
      <c r="D273" s="481">
        <v>85</v>
      </c>
      <c r="E273" s="481">
        <f t="shared" si="3"/>
        <v>82.5</v>
      </c>
      <c r="F273" s="481" t="s">
        <v>157</v>
      </c>
      <c r="H273" s="1" t="s">
        <v>467</v>
      </c>
      <c r="I273" s="1">
        <v>75</v>
      </c>
      <c r="J273" s="481" t="s">
        <v>185</v>
      </c>
    </row>
    <row r="274" spans="2:10" x14ac:dyDescent="0.2">
      <c r="B274" s="1" t="s">
        <v>507</v>
      </c>
      <c r="C274" s="481">
        <v>74</v>
      </c>
      <c r="D274" s="481">
        <v>79</v>
      </c>
      <c r="E274" s="481">
        <f t="shared" si="3"/>
        <v>76.5</v>
      </c>
      <c r="F274" s="481" t="s">
        <v>157</v>
      </c>
      <c r="H274" s="1" t="s">
        <v>469</v>
      </c>
      <c r="I274" s="1">
        <v>75</v>
      </c>
      <c r="J274" s="481" t="s">
        <v>185</v>
      </c>
    </row>
    <row r="275" spans="2:10" x14ac:dyDescent="0.2">
      <c r="B275" s="484" t="s">
        <v>509</v>
      </c>
      <c r="C275" s="481">
        <v>72</v>
      </c>
      <c r="D275" s="481">
        <v>78</v>
      </c>
      <c r="E275" s="481">
        <f t="shared" si="3"/>
        <v>75</v>
      </c>
      <c r="F275" s="481" t="s">
        <v>157</v>
      </c>
      <c r="H275" s="1" t="s">
        <v>471</v>
      </c>
      <c r="I275" s="1">
        <v>75</v>
      </c>
      <c r="J275" s="481" t="s">
        <v>185</v>
      </c>
    </row>
    <row r="276" spans="2:10" x14ac:dyDescent="0.2">
      <c r="B276" s="1" t="s">
        <v>511</v>
      </c>
      <c r="C276" s="481">
        <v>72</v>
      </c>
      <c r="D276" s="481">
        <v>80</v>
      </c>
      <c r="E276" s="481">
        <f t="shared" si="3"/>
        <v>76</v>
      </c>
      <c r="F276" s="481" t="s">
        <v>157</v>
      </c>
      <c r="H276" s="1" t="s">
        <v>512</v>
      </c>
      <c r="I276" s="1">
        <v>81</v>
      </c>
      <c r="J276" s="481" t="s">
        <v>157</v>
      </c>
    </row>
    <row r="277" spans="2:10" x14ac:dyDescent="0.2">
      <c r="B277" s="1" t="s">
        <v>513</v>
      </c>
      <c r="C277" s="481">
        <v>75</v>
      </c>
      <c r="D277" s="481">
        <v>85</v>
      </c>
      <c r="E277" s="481">
        <f t="shared" si="3"/>
        <v>80</v>
      </c>
      <c r="F277" s="481" t="s">
        <v>157</v>
      </c>
      <c r="H277" s="1" t="s">
        <v>514</v>
      </c>
      <c r="I277" s="1">
        <v>92.5</v>
      </c>
      <c r="J277" s="481" t="s">
        <v>157</v>
      </c>
    </row>
    <row r="278" spans="2:10" x14ac:dyDescent="0.2">
      <c r="B278" s="1" t="s">
        <v>515</v>
      </c>
      <c r="C278" s="481">
        <v>75</v>
      </c>
      <c r="D278" s="481">
        <v>82</v>
      </c>
      <c r="E278" s="481">
        <f>AVERAGE(C278:D278)</f>
        <v>78.5</v>
      </c>
      <c r="F278" s="481" t="s">
        <v>157</v>
      </c>
      <c r="H278" s="1" t="s">
        <v>539</v>
      </c>
      <c r="I278" s="1">
        <v>90</v>
      </c>
      <c r="J278" s="481" t="s">
        <v>157</v>
      </c>
    </row>
    <row r="279" spans="2:10" x14ac:dyDescent="0.2">
      <c r="B279" s="1" t="s">
        <v>516</v>
      </c>
      <c r="C279" s="481">
        <v>75</v>
      </c>
      <c r="D279" s="481">
        <v>82</v>
      </c>
      <c r="E279" s="481">
        <f t="shared" si="3"/>
        <v>78.5</v>
      </c>
      <c r="F279" s="481" t="s">
        <v>157</v>
      </c>
      <c r="H279" s="1" t="s">
        <v>541</v>
      </c>
      <c r="I279" s="1">
        <v>83.5</v>
      </c>
      <c r="J279" s="481" t="s">
        <v>157</v>
      </c>
    </row>
    <row r="280" spans="2:10" x14ac:dyDescent="0.2">
      <c r="B280" s="484" t="s">
        <v>517</v>
      </c>
      <c r="C280" s="481">
        <v>75</v>
      </c>
      <c r="D280" s="481">
        <v>82</v>
      </c>
      <c r="E280" s="481">
        <f t="shared" si="3"/>
        <v>78.5</v>
      </c>
      <c r="F280" s="481" t="s">
        <v>157</v>
      </c>
      <c r="H280" s="1" t="s">
        <v>523</v>
      </c>
      <c r="I280" s="1">
        <v>80.5</v>
      </c>
      <c r="J280" s="481" t="s">
        <v>157</v>
      </c>
    </row>
    <row r="281" spans="2:10" x14ac:dyDescent="0.2">
      <c r="B281" s="1" t="s">
        <v>518</v>
      </c>
      <c r="C281" s="481">
        <v>75</v>
      </c>
      <c r="D281" s="481">
        <v>82</v>
      </c>
      <c r="E281" s="481">
        <f t="shared" si="3"/>
        <v>78.5</v>
      </c>
      <c r="F281" s="481" t="s">
        <v>157</v>
      </c>
      <c r="H281" s="1" t="s">
        <v>525</v>
      </c>
      <c r="I281" s="1">
        <v>79</v>
      </c>
      <c r="J281" s="481" t="s">
        <v>157</v>
      </c>
    </row>
    <row r="282" spans="2:10" x14ac:dyDescent="0.2">
      <c r="B282" s="1" t="s">
        <v>519</v>
      </c>
      <c r="C282" s="481">
        <v>72</v>
      </c>
      <c r="D282" s="481">
        <v>76</v>
      </c>
      <c r="E282" s="481">
        <f t="shared" si="3"/>
        <v>74</v>
      </c>
      <c r="F282" s="481" t="s">
        <v>185</v>
      </c>
      <c r="H282" s="1" t="s">
        <v>499</v>
      </c>
      <c r="J282" s="481"/>
    </row>
    <row r="283" spans="2:10" x14ac:dyDescent="0.2">
      <c r="B283" s="1" t="s">
        <v>520</v>
      </c>
      <c r="C283" s="481">
        <v>73</v>
      </c>
      <c r="D283" s="481">
        <v>77</v>
      </c>
      <c r="E283" s="481">
        <f t="shared" si="3"/>
        <v>75</v>
      </c>
      <c r="F283" s="481" t="s">
        <v>185</v>
      </c>
      <c r="H283" s="1" t="s">
        <v>490</v>
      </c>
      <c r="I283" s="1">
        <v>75</v>
      </c>
      <c r="J283" s="481" t="s">
        <v>157</v>
      </c>
    </row>
    <row r="284" spans="2:10" x14ac:dyDescent="0.2">
      <c r="B284" s="1" t="s">
        <v>521</v>
      </c>
      <c r="C284" s="481">
        <v>73</v>
      </c>
      <c r="D284" s="481">
        <v>77</v>
      </c>
      <c r="E284" s="481">
        <f t="shared" si="3"/>
        <v>75</v>
      </c>
      <c r="F284" s="481" t="s">
        <v>185</v>
      </c>
      <c r="H284" s="1" t="s">
        <v>503</v>
      </c>
      <c r="I284" s="1">
        <v>80</v>
      </c>
      <c r="J284" s="481" t="s">
        <v>157</v>
      </c>
    </row>
    <row r="285" spans="2:10" x14ac:dyDescent="0.2">
      <c r="B285" s="1" t="s">
        <v>522</v>
      </c>
      <c r="C285" s="481">
        <v>70</v>
      </c>
      <c r="D285" s="481">
        <v>76</v>
      </c>
      <c r="E285" s="481">
        <f t="shared" si="3"/>
        <v>73</v>
      </c>
      <c r="F285" s="481" t="s">
        <v>185</v>
      </c>
      <c r="H285" s="1" t="s">
        <v>492</v>
      </c>
      <c r="I285" s="1">
        <v>75</v>
      </c>
      <c r="J285" s="481" t="s">
        <v>157</v>
      </c>
    </row>
    <row r="286" spans="2:10" x14ac:dyDescent="0.2">
      <c r="B286" s="1" t="s">
        <v>524</v>
      </c>
      <c r="C286" s="481">
        <v>70</v>
      </c>
      <c r="D286" s="481">
        <v>78</v>
      </c>
      <c r="E286" s="481">
        <f t="shared" si="3"/>
        <v>74</v>
      </c>
      <c r="F286" s="481" t="s">
        <v>185</v>
      </c>
      <c r="H286" s="480" t="s">
        <v>544</v>
      </c>
      <c r="I286" s="1">
        <v>82.5</v>
      </c>
      <c r="J286" s="481" t="s">
        <v>157</v>
      </c>
    </row>
    <row r="287" spans="2:10" x14ac:dyDescent="0.2">
      <c r="B287" s="1" t="s">
        <v>526</v>
      </c>
      <c r="C287" s="481">
        <v>72</v>
      </c>
      <c r="D287" s="481">
        <v>76</v>
      </c>
      <c r="E287" s="481">
        <f t="shared" si="3"/>
        <v>74</v>
      </c>
      <c r="F287" s="481" t="s">
        <v>185</v>
      </c>
      <c r="H287" s="480" t="s">
        <v>545</v>
      </c>
      <c r="I287" s="1">
        <v>70.5</v>
      </c>
      <c r="J287" s="481" t="s">
        <v>157</v>
      </c>
    </row>
    <row r="288" spans="2:10" x14ac:dyDescent="0.2">
      <c r="B288" s="484" t="s">
        <v>528</v>
      </c>
      <c r="C288" s="481">
        <v>82</v>
      </c>
      <c r="D288" s="481">
        <v>90</v>
      </c>
      <c r="E288" s="481">
        <f t="shared" si="3"/>
        <v>86</v>
      </c>
      <c r="F288" s="481" t="s">
        <v>157</v>
      </c>
      <c r="H288" s="480" t="s">
        <v>546</v>
      </c>
      <c r="I288" s="1">
        <v>70</v>
      </c>
      <c r="J288" s="481" t="s">
        <v>157</v>
      </c>
    </row>
    <row r="289" spans="2:10" x14ac:dyDescent="0.2">
      <c r="B289" s="484" t="s">
        <v>529</v>
      </c>
      <c r="C289" s="481">
        <v>85</v>
      </c>
      <c r="D289" s="481">
        <v>100</v>
      </c>
      <c r="E289" s="481">
        <f t="shared" si="3"/>
        <v>92.5</v>
      </c>
      <c r="F289" s="481" t="s">
        <v>157</v>
      </c>
      <c r="H289" s="480" t="s">
        <v>547</v>
      </c>
      <c r="I289" s="1">
        <v>65</v>
      </c>
      <c r="J289" s="481" t="s">
        <v>157</v>
      </c>
    </row>
    <row r="290" spans="2:10" x14ac:dyDescent="0.2">
      <c r="B290" s="1" t="s">
        <v>530</v>
      </c>
      <c r="C290" s="481">
        <v>78</v>
      </c>
      <c r="D290" s="481">
        <v>88</v>
      </c>
      <c r="E290" s="481">
        <f t="shared" si="3"/>
        <v>83</v>
      </c>
      <c r="F290" s="481" t="s">
        <v>157</v>
      </c>
      <c r="H290" s="480" t="s">
        <v>548</v>
      </c>
      <c r="I290" s="1">
        <v>70</v>
      </c>
      <c r="J290" s="481" t="s">
        <v>157</v>
      </c>
    </row>
    <row r="291" spans="2:10" x14ac:dyDescent="0.2">
      <c r="B291" s="1" t="s">
        <v>531</v>
      </c>
      <c r="C291" s="481">
        <v>85</v>
      </c>
      <c r="D291" s="481">
        <v>100</v>
      </c>
      <c r="E291" s="481">
        <f t="shared" si="3"/>
        <v>92.5</v>
      </c>
      <c r="F291" s="481" t="s">
        <v>157</v>
      </c>
      <c r="H291" s="480" t="s">
        <v>549</v>
      </c>
      <c r="I291" s="1">
        <v>77.5</v>
      </c>
      <c r="J291" s="481" t="s">
        <v>157</v>
      </c>
    </row>
    <row r="292" spans="2:10" x14ac:dyDescent="0.2">
      <c r="B292" s="1" t="s">
        <v>532</v>
      </c>
      <c r="C292" s="481">
        <v>85</v>
      </c>
      <c r="D292" s="481">
        <v>100</v>
      </c>
      <c r="E292" s="481">
        <f t="shared" si="3"/>
        <v>92.5</v>
      </c>
      <c r="F292" s="481" t="s">
        <v>157</v>
      </c>
      <c r="H292" s="1" t="s">
        <v>506</v>
      </c>
      <c r="I292" s="1">
        <v>90.5</v>
      </c>
      <c r="J292" s="481" t="s">
        <v>157</v>
      </c>
    </row>
    <row r="293" spans="2:10" x14ac:dyDescent="0.2">
      <c r="B293" s="1" t="s">
        <v>533</v>
      </c>
      <c r="C293" s="481">
        <v>75</v>
      </c>
      <c r="D293" s="481">
        <v>85</v>
      </c>
      <c r="E293" s="481">
        <f t="shared" si="3"/>
        <v>80</v>
      </c>
      <c r="F293" s="481" t="s">
        <v>157</v>
      </c>
      <c r="H293" s="484" t="s">
        <v>508</v>
      </c>
      <c r="I293" s="1">
        <v>81</v>
      </c>
      <c r="J293" s="481" t="s">
        <v>157</v>
      </c>
    </row>
    <row r="294" spans="2:10" x14ac:dyDescent="0.2">
      <c r="B294" s="1" t="s">
        <v>534</v>
      </c>
      <c r="C294" s="481">
        <v>85</v>
      </c>
      <c r="D294" s="481">
        <v>100</v>
      </c>
      <c r="E294" s="481">
        <f t="shared" si="3"/>
        <v>92.5</v>
      </c>
      <c r="F294" s="481" t="s">
        <v>157</v>
      </c>
      <c r="H294" s="1" t="s">
        <v>510</v>
      </c>
      <c r="I294" s="1">
        <v>83</v>
      </c>
      <c r="J294" s="481" t="s">
        <v>157</v>
      </c>
    </row>
    <row r="295" spans="2:10" x14ac:dyDescent="0.2">
      <c r="B295" s="1" t="s">
        <v>535</v>
      </c>
      <c r="C295" s="481">
        <v>73</v>
      </c>
      <c r="D295" s="481">
        <v>77</v>
      </c>
      <c r="E295" s="481">
        <f t="shared" si="3"/>
        <v>75</v>
      </c>
      <c r="F295" s="481" t="s">
        <v>157</v>
      </c>
      <c r="H295" s="1" t="s">
        <v>241</v>
      </c>
      <c r="J295" s="481"/>
    </row>
    <row r="296" spans="2:10" x14ac:dyDescent="0.2">
      <c r="B296" s="1" t="s">
        <v>536</v>
      </c>
      <c r="C296" s="481">
        <v>72</v>
      </c>
      <c r="D296" s="481">
        <v>85</v>
      </c>
      <c r="E296" s="481">
        <f t="shared" si="3"/>
        <v>78.5</v>
      </c>
      <c r="F296" s="481" t="s">
        <v>157</v>
      </c>
      <c r="H296" s="1" t="s">
        <v>494</v>
      </c>
      <c r="I296" s="1">
        <v>75</v>
      </c>
      <c r="J296" s="481" t="s">
        <v>157</v>
      </c>
    </row>
    <row r="297" spans="2:10" x14ac:dyDescent="0.2">
      <c r="B297" s="1" t="s">
        <v>537</v>
      </c>
      <c r="C297" s="481">
        <v>71</v>
      </c>
      <c r="D297" s="481">
        <v>75</v>
      </c>
      <c r="E297" s="481">
        <f t="shared" si="3"/>
        <v>73</v>
      </c>
      <c r="F297" s="481" t="s">
        <v>157</v>
      </c>
      <c r="H297" s="1" t="s">
        <v>496</v>
      </c>
      <c r="I297" s="1">
        <v>75</v>
      </c>
      <c r="J297" s="481" t="s">
        <v>157</v>
      </c>
    </row>
    <row r="298" spans="2:10" x14ac:dyDescent="0.2">
      <c r="B298" s="1" t="s">
        <v>538</v>
      </c>
      <c r="C298" s="481">
        <v>80</v>
      </c>
      <c r="D298" s="481">
        <v>90</v>
      </c>
      <c r="E298" s="481">
        <f t="shared" si="3"/>
        <v>85</v>
      </c>
      <c r="F298" s="481" t="s">
        <v>157</v>
      </c>
      <c r="H298" s="1" t="s">
        <v>243</v>
      </c>
      <c r="I298" s="1">
        <v>76.5</v>
      </c>
      <c r="J298" s="481" t="s">
        <v>157</v>
      </c>
    </row>
    <row r="299" spans="2:10" x14ac:dyDescent="0.2">
      <c r="B299" s="1" t="s">
        <v>540</v>
      </c>
      <c r="C299" s="481">
        <v>85</v>
      </c>
      <c r="D299" s="481">
        <v>90</v>
      </c>
      <c r="E299" s="481">
        <f t="shared" si="3"/>
        <v>87.5</v>
      </c>
      <c r="F299" s="481" t="s">
        <v>157</v>
      </c>
      <c r="H299" s="1" t="s">
        <v>245</v>
      </c>
      <c r="I299" s="1">
        <v>66.5</v>
      </c>
      <c r="J299" s="481" t="s">
        <v>157</v>
      </c>
    </row>
    <row r="300" spans="2:10" x14ac:dyDescent="0.2">
      <c r="B300" s="1" t="s">
        <v>542</v>
      </c>
      <c r="F300" s="481" t="s">
        <v>157</v>
      </c>
      <c r="H300" s="1" t="s">
        <v>247</v>
      </c>
      <c r="I300" s="1">
        <v>76.5</v>
      </c>
      <c r="J300" s="481" t="s">
        <v>155</v>
      </c>
    </row>
    <row r="301" spans="2:10" x14ac:dyDescent="0.2">
      <c r="F301" s="481"/>
      <c r="H301" s="1" t="s">
        <v>249</v>
      </c>
      <c r="I301" s="1">
        <v>71.5</v>
      </c>
      <c r="J301" s="481" t="s">
        <v>157</v>
      </c>
    </row>
    <row r="302" spans="2:10" x14ac:dyDescent="0.2">
      <c r="B302" s="1" t="s">
        <v>434</v>
      </c>
      <c r="F302" s="481"/>
      <c r="H302" s="1" t="s">
        <v>251</v>
      </c>
      <c r="I302" s="1">
        <v>70.5</v>
      </c>
      <c r="J302" s="481" t="s">
        <v>157</v>
      </c>
    </row>
    <row r="303" spans="2:10" x14ac:dyDescent="0.2">
      <c r="B303" s="1" t="s">
        <v>237</v>
      </c>
      <c r="C303" s="481">
        <v>73</v>
      </c>
      <c r="D303" s="481">
        <v>75</v>
      </c>
      <c r="E303" s="481">
        <f t="shared" si="3"/>
        <v>74</v>
      </c>
      <c r="F303" s="481" t="s">
        <v>157</v>
      </c>
      <c r="H303" s="1" t="s">
        <v>253</v>
      </c>
      <c r="I303" s="1">
        <v>76</v>
      </c>
      <c r="J303" s="481" t="s">
        <v>157</v>
      </c>
    </row>
    <row r="304" spans="2:10" x14ac:dyDescent="0.2">
      <c r="B304" s="1" t="s">
        <v>239</v>
      </c>
      <c r="C304" s="481">
        <v>73</v>
      </c>
      <c r="D304" s="481">
        <v>74</v>
      </c>
      <c r="E304" s="481">
        <f t="shared" si="3"/>
        <v>73.5</v>
      </c>
      <c r="F304" s="481" t="s">
        <v>157</v>
      </c>
      <c r="H304" s="1" t="s">
        <v>255</v>
      </c>
      <c r="I304" s="1">
        <v>75</v>
      </c>
      <c r="J304" s="481" t="s">
        <v>157</v>
      </c>
    </row>
    <row r="305" spans="2:10" x14ac:dyDescent="0.2">
      <c r="B305" s="1" t="s">
        <v>240</v>
      </c>
      <c r="C305" s="481">
        <v>68</v>
      </c>
      <c r="D305" s="481">
        <v>72</v>
      </c>
      <c r="E305" s="481">
        <f>AVERAGE(C305:D305)</f>
        <v>70</v>
      </c>
      <c r="F305" s="481" t="s">
        <v>157</v>
      </c>
      <c r="H305" s="1" t="s">
        <v>257</v>
      </c>
      <c r="I305" s="1">
        <v>72.5</v>
      </c>
      <c r="J305" s="481" t="s">
        <v>157</v>
      </c>
    </row>
    <row r="306" spans="2:10" x14ac:dyDescent="0.2">
      <c r="B306" s="1" t="s">
        <v>242</v>
      </c>
      <c r="C306" s="481">
        <v>73</v>
      </c>
      <c r="D306" s="481">
        <v>77</v>
      </c>
      <c r="E306" s="481">
        <f t="shared" si="3"/>
        <v>75</v>
      </c>
      <c r="F306" s="481" t="s">
        <v>157</v>
      </c>
      <c r="H306" s="1" t="s">
        <v>259</v>
      </c>
      <c r="I306" s="1">
        <v>72.5</v>
      </c>
      <c r="J306" s="481" t="s">
        <v>157</v>
      </c>
    </row>
    <row r="307" spans="2:10" x14ac:dyDescent="0.2">
      <c r="B307" s="1" t="s">
        <v>244</v>
      </c>
      <c r="C307" s="481">
        <v>69</v>
      </c>
      <c r="D307" s="481">
        <v>74</v>
      </c>
      <c r="E307" s="481">
        <f t="shared" si="3"/>
        <v>71.5</v>
      </c>
      <c r="F307" s="481" t="s">
        <v>157</v>
      </c>
      <c r="H307" s="1" t="s">
        <v>261</v>
      </c>
      <c r="I307" s="1">
        <v>75</v>
      </c>
      <c r="J307" s="481" t="s">
        <v>157</v>
      </c>
    </row>
    <row r="308" spans="2:10" x14ac:dyDescent="0.2">
      <c r="B308" s="1" t="s">
        <v>246</v>
      </c>
      <c r="C308" s="481">
        <v>71</v>
      </c>
      <c r="D308" s="481">
        <v>75</v>
      </c>
      <c r="E308" s="481">
        <f t="shared" si="3"/>
        <v>73</v>
      </c>
      <c r="F308" s="481" t="s">
        <v>157</v>
      </c>
      <c r="H308" s="1" t="s">
        <v>263</v>
      </c>
      <c r="I308" s="1">
        <v>67.5</v>
      </c>
      <c r="J308" s="481" t="s">
        <v>157</v>
      </c>
    </row>
    <row r="309" spans="2:10" x14ac:dyDescent="0.2">
      <c r="B309" s="1" t="s">
        <v>248</v>
      </c>
      <c r="C309" s="481">
        <v>72</v>
      </c>
      <c r="D309" s="481">
        <v>76</v>
      </c>
      <c r="E309" s="481">
        <f t="shared" si="3"/>
        <v>74</v>
      </c>
      <c r="F309" s="481" t="s">
        <v>157</v>
      </c>
      <c r="H309" s="1" t="s">
        <v>265</v>
      </c>
      <c r="I309" s="1">
        <v>71</v>
      </c>
      <c r="J309" s="481" t="s">
        <v>157</v>
      </c>
    </row>
    <row r="310" spans="2:10" x14ac:dyDescent="0.2">
      <c r="B310" s="1" t="s">
        <v>250</v>
      </c>
      <c r="C310" s="481">
        <v>73</v>
      </c>
      <c r="D310" s="481">
        <v>77</v>
      </c>
      <c r="E310" s="481">
        <f t="shared" si="3"/>
        <v>75</v>
      </c>
      <c r="F310" s="481" t="s">
        <v>157</v>
      </c>
      <c r="H310" s="1" t="s">
        <v>267</v>
      </c>
      <c r="I310" s="1">
        <v>70</v>
      </c>
      <c r="J310" s="481" t="s">
        <v>157</v>
      </c>
    </row>
    <row r="311" spans="2:10" x14ac:dyDescent="0.2">
      <c r="B311" s="1" t="s">
        <v>252</v>
      </c>
      <c r="C311" s="481">
        <v>74</v>
      </c>
      <c r="D311" s="481">
        <v>78</v>
      </c>
      <c r="E311" s="481">
        <f t="shared" si="3"/>
        <v>76</v>
      </c>
      <c r="F311" s="481" t="s">
        <v>157</v>
      </c>
      <c r="H311" s="1" t="s">
        <v>269</v>
      </c>
      <c r="I311" s="1">
        <v>75</v>
      </c>
      <c r="J311" s="481" t="s">
        <v>157</v>
      </c>
    </row>
    <row r="312" spans="2:10" x14ac:dyDescent="0.2">
      <c r="B312" s="1" t="s">
        <v>254</v>
      </c>
      <c r="C312" s="481">
        <v>74</v>
      </c>
      <c r="D312" s="481">
        <v>78</v>
      </c>
      <c r="E312" s="481">
        <f t="shared" si="3"/>
        <v>76</v>
      </c>
      <c r="F312" s="481" t="s">
        <v>157</v>
      </c>
      <c r="H312" s="1" t="s">
        <v>271</v>
      </c>
      <c r="I312" s="481">
        <v>73.5</v>
      </c>
      <c r="J312" s="481" t="s">
        <v>157</v>
      </c>
    </row>
    <row r="313" spans="2:10" x14ac:dyDescent="0.2">
      <c r="B313" s="1" t="s">
        <v>256</v>
      </c>
      <c r="C313" s="481">
        <v>60</v>
      </c>
      <c r="D313" s="481">
        <v>73</v>
      </c>
      <c r="E313" s="481">
        <f t="shared" si="3"/>
        <v>66.5</v>
      </c>
      <c r="F313" s="481" t="s">
        <v>157</v>
      </c>
      <c r="H313" s="1" t="s">
        <v>273</v>
      </c>
      <c r="I313" s="1">
        <v>72</v>
      </c>
      <c r="J313" s="481" t="s">
        <v>157</v>
      </c>
    </row>
    <row r="314" spans="2:10" x14ac:dyDescent="0.2">
      <c r="B314" s="1" t="s">
        <v>258</v>
      </c>
      <c r="C314" s="481">
        <v>70</v>
      </c>
      <c r="D314" s="481">
        <v>75</v>
      </c>
      <c r="E314" s="481">
        <f t="shared" si="3"/>
        <v>72.5</v>
      </c>
      <c r="F314" s="481" t="s">
        <v>157</v>
      </c>
      <c r="H314" s="1" t="s">
        <v>275</v>
      </c>
      <c r="I314" s="1">
        <v>71.5</v>
      </c>
      <c r="J314" s="481" t="s">
        <v>157</v>
      </c>
    </row>
    <row r="315" spans="2:10" x14ac:dyDescent="0.2">
      <c r="B315" s="1" t="s">
        <v>260</v>
      </c>
      <c r="C315" s="481">
        <v>72</v>
      </c>
      <c r="D315" s="481">
        <v>78</v>
      </c>
      <c r="E315" s="481">
        <f>AVERAGE(C315:D315)</f>
        <v>75</v>
      </c>
      <c r="F315" s="481" t="s">
        <v>157</v>
      </c>
      <c r="H315" s="1" t="s">
        <v>277</v>
      </c>
      <c r="I315" s="1">
        <v>72.5</v>
      </c>
      <c r="J315" s="481" t="s">
        <v>157</v>
      </c>
    </row>
    <row r="316" spans="2:10" x14ac:dyDescent="0.2">
      <c r="B316" s="1" t="s">
        <v>262</v>
      </c>
      <c r="C316" s="481">
        <v>75</v>
      </c>
      <c r="D316" s="481">
        <v>85</v>
      </c>
      <c r="E316" s="481">
        <f>AVERAGE(C316:D316)</f>
        <v>80</v>
      </c>
      <c r="F316" s="481" t="s">
        <v>157</v>
      </c>
      <c r="H316" s="1" t="s">
        <v>279</v>
      </c>
      <c r="I316" s="1">
        <v>72.5</v>
      </c>
      <c r="J316" s="481" t="s">
        <v>157</v>
      </c>
    </row>
    <row r="317" spans="2:10" x14ac:dyDescent="0.2">
      <c r="B317" s="1" t="s">
        <v>264</v>
      </c>
      <c r="C317" s="481">
        <v>72</v>
      </c>
      <c r="D317" s="481">
        <v>76</v>
      </c>
      <c r="E317" s="481">
        <f t="shared" si="3"/>
        <v>74</v>
      </c>
      <c r="F317" s="481" t="s">
        <v>157</v>
      </c>
      <c r="H317" s="1" t="s">
        <v>281</v>
      </c>
      <c r="I317" s="1">
        <v>75</v>
      </c>
      <c r="J317" s="481" t="s">
        <v>155</v>
      </c>
    </row>
    <row r="318" spans="2:10" x14ac:dyDescent="0.2">
      <c r="B318" s="1" t="s">
        <v>266</v>
      </c>
      <c r="C318" s="481">
        <v>75</v>
      </c>
      <c r="D318" s="481">
        <v>85</v>
      </c>
      <c r="E318" s="481">
        <f t="shared" si="3"/>
        <v>80</v>
      </c>
      <c r="F318" s="481" t="s">
        <v>157</v>
      </c>
      <c r="H318" s="1" t="s">
        <v>283</v>
      </c>
      <c r="I318" s="1">
        <v>75</v>
      </c>
      <c r="J318" s="481" t="s">
        <v>157</v>
      </c>
    </row>
    <row r="319" spans="2:10" x14ac:dyDescent="0.2">
      <c r="B319" s="1" t="s">
        <v>268</v>
      </c>
      <c r="C319" s="481">
        <v>75</v>
      </c>
      <c r="D319" s="481">
        <v>85</v>
      </c>
      <c r="E319" s="481">
        <f t="shared" si="3"/>
        <v>80</v>
      </c>
      <c r="F319" s="481" t="s">
        <v>157</v>
      </c>
      <c r="H319" s="1" t="s">
        <v>285</v>
      </c>
      <c r="I319" s="1">
        <v>70</v>
      </c>
      <c r="J319" s="481" t="s">
        <v>157</v>
      </c>
    </row>
    <row r="320" spans="2:10" x14ac:dyDescent="0.2">
      <c r="B320" s="1" t="s">
        <v>270</v>
      </c>
      <c r="C320" s="481">
        <v>75</v>
      </c>
      <c r="D320" s="481">
        <v>85</v>
      </c>
      <c r="E320" s="481">
        <f t="shared" si="3"/>
        <v>80</v>
      </c>
      <c r="F320" s="481" t="s">
        <v>157</v>
      </c>
      <c r="H320" s="1" t="s">
        <v>287</v>
      </c>
      <c r="I320" s="1">
        <v>68.5</v>
      </c>
      <c r="J320" s="481" t="s">
        <v>155</v>
      </c>
    </row>
    <row r="321" spans="2:10" x14ac:dyDescent="0.2">
      <c r="B321" s="1" t="s">
        <v>278</v>
      </c>
      <c r="C321" s="481">
        <v>72</v>
      </c>
      <c r="D321" s="481">
        <v>76</v>
      </c>
      <c r="E321" s="481">
        <f t="shared" si="3"/>
        <v>74</v>
      </c>
      <c r="F321" s="481" t="s">
        <v>157</v>
      </c>
      <c r="H321" s="1" t="s">
        <v>289</v>
      </c>
      <c r="I321" s="1">
        <v>72</v>
      </c>
      <c r="J321" s="481" t="s">
        <v>157</v>
      </c>
    </row>
    <row r="322" spans="2:10" x14ac:dyDescent="0.2">
      <c r="B322" s="1" t="s">
        <v>280</v>
      </c>
      <c r="C322" s="481">
        <v>72</v>
      </c>
      <c r="D322" s="481">
        <v>76</v>
      </c>
      <c r="E322" s="481">
        <f t="shared" si="3"/>
        <v>74</v>
      </c>
      <c r="F322" s="481" t="s">
        <v>157</v>
      </c>
      <c r="H322" s="1" t="s">
        <v>291</v>
      </c>
      <c r="I322" s="1">
        <v>77.5</v>
      </c>
      <c r="J322" s="481" t="s">
        <v>157</v>
      </c>
    </row>
    <row r="323" spans="2:10" x14ac:dyDescent="0.2">
      <c r="B323" s="1" t="s">
        <v>282</v>
      </c>
      <c r="C323" s="481">
        <v>74</v>
      </c>
      <c r="D323" s="481">
        <v>78</v>
      </c>
      <c r="E323" s="481">
        <f t="shared" si="3"/>
        <v>76</v>
      </c>
      <c r="F323" s="481" t="s">
        <v>157</v>
      </c>
      <c r="H323" s="1" t="s">
        <v>293</v>
      </c>
      <c r="I323" s="1">
        <v>77.5</v>
      </c>
      <c r="J323" s="481" t="s">
        <v>157</v>
      </c>
    </row>
    <row r="324" spans="2:10" x14ac:dyDescent="0.2">
      <c r="B324" s="1" t="s">
        <v>284</v>
      </c>
      <c r="C324" s="481">
        <v>72</v>
      </c>
      <c r="D324" s="481">
        <v>77</v>
      </c>
      <c r="E324" s="481">
        <f t="shared" si="3"/>
        <v>74.5</v>
      </c>
      <c r="F324" s="481" t="s">
        <v>157</v>
      </c>
      <c r="H324" s="1" t="s">
        <v>295</v>
      </c>
      <c r="I324" s="1">
        <v>67.5</v>
      </c>
      <c r="J324" s="481" t="s">
        <v>157</v>
      </c>
    </row>
    <row r="325" spans="2:10" x14ac:dyDescent="0.2">
      <c r="B325" s="1" t="s">
        <v>286</v>
      </c>
      <c r="C325" s="481">
        <v>74</v>
      </c>
      <c r="D325" s="481">
        <v>78</v>
      </c>
      <c r="E325" s="481">
        <f t="shared" si="3"/>
        <v>76</v>
      </c>
      <c r="F325" s="481" t="s">
        <v>157</v>
      </c>
      <c r="H325" s="1" t="s">
        <v>297</v>
      </c>
      <c r="I325" s="1">
        <v>72.5</v>
      </c>
      <c r="J325" s="481" t="s">
        <v>157</v>
      </c>
    </row>
    <row r="326" spans="2:10" x14ac:dyDescent="0.2">
      <c r="B326" s="1" t="s">
        <v>288</v>
      </c>
      <c r="C326" s="481">
        <v>72</v>
      </c>
      <c r="D326" s="481">
        <v>76</v>
      </c>
      <c r="E326" s="481">
        <f t="shared" si="3"/>
        <v>74</v>
      </c>
      <c r="F326" s="481" t="s">
        <v>157</v>
      </c>
      <c r="H326" s="1" t="s">
        <v>299</v>
      </c>
      <c r="I326" s="481">
        <v>76</v>
      </c>
      <c r="J326" s="481" t="s">
        <v>157</v>
      </c>
    </row>
    <row r="327" spans="2:10" x14ac:dyDescent="0.2">
      <c r="B327" s="1" t="s">
        <v>290</v>
      </c>
      <c r="C327" s="481">
        <v>74</v>
      </c>
      <c r="D327" s="481">
        <v>78</v>
      </c>
      <c r="E327" s="481">
        <f t="shared" si="3"/>
        <v>76</v>
      </c>
      <c r="F327" s="481" t="s">
        <v>157</v>
      </c>
      <c r="H327" s="1" t="s">
        <v>301</v>
      </c>
      <c r="I327" s="1">
        <v>76</v>
      </c>
      <c r="J327" s="481" t="s">
        <v>157</v>
      </c>
    </row>
    <row r="328" spans="2:10" x14ac:dyDescent="0.2">
      <c r="B328" s="1" t="s">
        <v>292</v>
      </c>
      <c r="C328" s="481">
        <v>77</v>
      </c>
      <c r="D328" s="481">
        <v>83</v>
      </c>
      <c r="E328" s="481">
        <f t="shared" si="3"/>
        <v>80</v>
      </c>
      <c r="F328" s="481" t="s">
        <v>157</v>
      </c>
      <c r="H328" s="1" t="s">
        <v>303</v>
      </c>
      <c r="I328" s="1">
        <v>75</v>
      </c>
      <c r="J328" s="481" t="s">
        <v>157</v>
      </c>
    </row>
    <row r="329" spans="2:10" x14ac:dyDescent="0.2">
      <c r="B329" s="1" t="s">
        <v>294</v>
      </c>
      <c r="C329" s="481">
        <v>75</v>
      </c>
      <c r="D329" s="481">
        <v>80</v>
      </c>
      <c r="E329" s="481">
        <f t="shared" si="3"/>
        <v>77.5</v>
      </c>
      <c r="F329" s="481" t="s">
        <v>157</v>
      </c>
      <c r="H329" s="1" t="s">
        <v>305</v>
      </c>
      <c r="I329" s="1">
        <v>67.5</v>
      </c>
      <c r="J329" s="481" t="s">
        <v>157</v>
      </c>
    </row>
    <row r="330" spans="2:10" x14ac:dyDescent="0.2">
      <c r="B330" s="1" t="s">
        <v>296</v>
      </c>
      <c r="C330" s="481">
        <v>76</v>
      </c>
      <c r="D330" s="481">
        <v>78</v>
      </c>
      <c r="E330" s="481">
        <f t="shared" si="3"/>
        <v>77</v>
      </c>
      <c r="F330" s="481" t="s">
        <v>157</v>
      </c>
      <c r="H330" s="1" t="s">
        <v>307</v>
      </c>
      <c r="I330" s="1">
        <v>71.5</v>
      </c>
      <c r="J330" s="481" t="s">
        <v>157</v>
      </c>
    </row>
    <row r="331" spans="2:10" x14ac:dyDescent="0.2">
      <c r="B331" s="1" t="s">
        <v>322</v>
      </c>
      <c r="C331" s="481">
        <v>80</v>
      </c>
      <c r="D331" s="481">
        <v>100</v>
      </c>
      <c r="E331" s="481">
        <f t="shared" si="3"/>
        <v>90</v>
      </c>
      <c r="F331" s="481" t="s">
        <v>157</v>
      </c>
      <c r="H331" s="1" t="s">
        <v>309</v>
      </c>
      <c r="I331" s="481">
        <v>77.5</v>
      </c>
      <c r="J331" s="481" t="s">
        <v>157</v>
      </c>
    </row>
    <row r="332" spans="2:10" x14ac:dyDescent="0.2">
      <c r="B332" s="1" t="s">
        <v>336</v>
      </c>
      <c r="C332" s="481">
        <v>73</v>
      </c>
      <c r="D332" s="481">
        <v>77</v>
      </c>
      <c r="E332" s="481">
        <f t="shared" si="3"/>
        <v>75</v>
      </c>
      <c r="F332" s="481" t="s">
        <v>157</v>
      </c>
      <c r="H332" s="1" t="s">
        <v>311</v>
      </c>
      <c r="I332" s="481">
        <v>77.5</v>
      </c>
      <c r="J332" s="481" t="s">
        <v>157</v>
      </c>
    </row>
    <row r="333" spans="2:10" x14ac:dyDescent="0.2">
      <c r="B333" s="1" t="s">
        <v>338</v>
      </c>
      <c r="C333" s="481">
        <v>73</v>
      </c>
      <c r="D333" s="481">
        <v>77</v>
      </c>
      <c r="E333" s="481">
        <f t="shared" si="3"/>
        <v>75</v>
      </c>
      <c r="F333" s="481" t="s">
        <v>157</v>
      </c>
      <c r="H333" s="1" t="s">
        <v>313</v>
      </c>
      <c r="I333" s="1">
        <v>72</v>
      </c>
      <c r="J333" s="1" t="s">
        <v>157</v>
      </c>
    </row>
    <row r="334" spans="2:10" x14ac:dyDescent="0.2">
      <c r="B334" s="1" t="s">
        <v>340</v>
      </c>
      <c r="C334" s="481">
        <v>73</v>
      </c>
      <c r="D334" s="481">
        <v>77</v>
      </c>
      <c r="E334" s="481">
        <f t="shared" si="3"/>
        <v>75</v>
      </c>
      <c r="F334" s="481" t="s">
        <v>157</v>
      </c>
      <c r="H334" s="1" t="s">
        <v>315</v>
      </c>
      <c r="I334" s="481">
        <v>79.5</v>
      </c>
      <c r="J334" s="481" t="s">
        <v>157</v>
      </c>
    </row>
    <row r="335" spans="2:10" x14ac:dyDescent="0.2">
      <c r="B335" s="1" t="s">
        <v>342</v>
      </c>
      <c r="C335" s="481">
        <v>75</v>
      </c>
      <c r="D335" s="481">
        <v>79</v>
      </c>
      <c r="E335" s="481">
        <f t="shared" si="3"/>
        <v>77</v>
      </c>
      <c r="F335" s="481" t="s">
        <v>155</v>
      </c>
      <c r="H335" s="1" t="s">
        <v>317</v>
      </c>
      <c r="I335" s="1">
        <v>72.5</v>
      </c>
      <c r="J335" s="481" t="s">
        <v>157</v>
      </c>
    </row>
    <row r="336" spans="2:10" x14ac:dyDescent="0.2">
      <c r="B336" s="1" t="s">
        <v>1632</v>
      </c>
      <c r="C336" s="481">
        <v>68</v>
      </c>
      <c r="D336" s="481">
        <v>74</v>
      </c>
      <c r="E336" s="481">
        <f t="shared" si="3"/>
        <v>71</v>
      </c>
      <c r="F336" s="481" t="s">
        <v>157</v>
      </c>
      <c r="H336" s="1" t="s">
        <v>319</v>
      </c>
      <c r="I336" s="1">
        <v>82.5</v>
      </c>
      <c r="J336" s="1" t="s">
        <v>157</v>
      </c>
    </row>
    <row r="337" spans="2:10" x14ac:dyDescent="0.2">
      <c r="B337" s="1" t="s">
        <v>458</v>
      </c>
      <c r="C337" s="481">
        <v>71</v>
      </c>
      <c r="D337" s="481">
        <v>75</v>
      </c>
      <c r="E337" s="481">
        <f t="shared" ref="E337:E404" si="4">AVERAGE(C337:D337)</f>
        <v>73</v>
      </c>
      <c r="F337" s="481" t="s">
        <v>185</v>
      </c>
      <c r="H337" s="1" t="s">
        <v>321</v>
      </c>
      <c r="I337" s="1">
        <v>75.5</v>
      </c>
      <c r="J337" s="481" t="s">
        <v>157</v>
      </c>
    </row>
    <row r="338" spans="2:10" x14ac:dyDescent="0.2">
      <c r="B338" s="1" t="s">
        <v>460</v>
      </c>
      <c r="C338" s="481">
        <v>73</v>
      </c>
      <c r="D338" s="481">
        <v>77</v>
      </c>
      <c r="E338" s="481">
        <f t="shared" si="4"/>
        <v>75</v>
      </c>
      <c r="F338" s="481" t="s">
        <v>185</v>
      </c>
      <c r="H338" s="1" t="s">
        <v>323</v>
      </c>
      <c r="I338" s="1">
        <v>80</v>
      </c>
      <c r="J338" s="481" t="s">
        <v>157</v>
      </c>
    </row>
    <row r="339" spans="2:10" x14ac:dyDescent="0.2">
      <c r="B339" s="1" t="s">
        <v>462</v>
      </c>
      <c r="C339" s="481">
        <v>72</v>
      </c>
      <c r="D339" s="481">
        <v>76</v>
      </c>
      <c r="E339" s="481">
        <f t="shared" si="4"/>
        <v>74</v>
      </c>
      <c r="F339" s="481" t="s">
        <v>185</v>
      </c>
      <c r="H339" s="1" t="s">
        <v>325</v>
      </c>
      <c r="I339" s="1">
        <v>74</v>
      </c>
      <c r="J339" s="481" t="s">
        <v>157</v>
      </c>
    </row>
    <row r="340" spans="2:10" x14ac:dyDescent="0.2">
      <c r="B340" s="1" t="s">
        <v>464</v>
      </c>
      <c r="C340" s="481">
        <v>73</v>
      </c>
      <c r="D340" s="481">
        <v>77</v>
      </c>
      <c r="E340" s="481">
        <f t="shared" si="4"/>
        <v>75</v>
      </c>
      <c r="F340" s="481" t="s">
        <v>185</v>
      </c>
      <c r="H340" s="1" t="s">
        <v>327</v>
      </c>
      <c r="I340" s="1">
        <v>72.5</v>
      </c>
      <c r="J340" s="481" t="s">
        <v>157</v>
      </c>
    </row>
    <row r="341" spans="2:10" x14ac:dyDescent="0.2">
      <c r="B341" s="1" t="s">
        <v>466</v>
      </c>
      <c r="C341" s="481">
        <v>70</v>
      </c>
      <c r="D341" s="481">
        <v>74</v>
      </c>
      <c r="E341" s="481">
        <f t="shared" si="4"/>
        <v>72</v>
      </c>
      <c r="F341" s="481" t="s">
        <v>185</v>
      </c>
      <c r="H341" s="1" t="s">
        <v>329</v>
      </c>
      <c r="I341" s="1">
        <v>75</v>
      </c>
      <c r="J341" s="481" t="s">
        <v>157</v>
      </c>
    </row>
    <row r="342" spans="2:10" x14ac:dyDescent="0.2">
      <c r="B342" s="1" t="s">
        <v>1633</v>
      </c>
      <c r="C342" s="481">
        <v>73</v>
      </c>
      <c r="D342" s="481">
        <v>77</v>
      </c>
      <c r="E342" s="481">
        <f t="shared" si="4"/>
        <v>75</v>
      </c>
      <c r="F342" s="481" t="s">
        <v>185</v>
      </c>
      <c r="H342" s="1" t="s">
        <v>331</v>
      </c>
      <c r="I342" s="1">
        <v>76.5</v>
      </c>
      <c r="J342" s="481" t="s">
        <v>157</v>
      </c>
    </row>
    <row r="343" spans="2:10" x14ac:dyDescent="0.2">
      <c r="B343" s="1" t="s">
        <v>468</v>
      </c>
      <c r="C343" s="481">
        <v>72</v>
      </c>
      <c r="D343" s="481">
        <v>77</v>
      </c>
      <c r="E343" s="481">
        <f t="shared" si="4"/>
        <v>74.5</v>
      </c>
      <c r="F343" s="481" t="s">
        <v>185</v>
      </c>
      <c r="H343" s="1" t="s">
        <v>333</v>
      </c>
      <c r="I343" s="1">
        <v>76</v>
      </c>
      <c r="J343" s="481" t="s">
        <v>157</v>
      </c>
    </row>
    <row r="344" spans="2:10" x14ac:dyDescent="0.2">
      <c r="B344" s="1" t="s">
        <v>470</v>
      </c>
      <c r="C344" s="481">
        <v>71</v>
      </c>
      <c r="D344" s="481">
        <v>75</v>
      </c>
      <c r="E344" s="481">
        <f t="shared" si="4"/>
        <v>73</v>
      </c>
      <c r="F344" s="481" t="s">
        <v>185</v>
      </c>
      <c r="H344" s="1" t="s">
        <v>335</v>
      </c>
      <c r="I344" s="1">
        <v>72.5</v>
      </c>
      <c r="J344" s="481" t="s">
        <v>157</v>
      </c>
    </row>
    <row r="345" spans="2:10" x14ac:dyDescent="0.2">
      <c r="B345" s="1" t="s">
        <v>544</v>
      </c>
      <c r="C345" s="481">
        <v>65</v>
      </c>
      <c r="D345" s="481">
        <v>100</v>
      </c>
      <c r="E345" s="481">
        <f t="shared" si="4"/>
        <v>82.5</v>
      </c>
      <c r="F345" s="481" t="s">
        <v>157</v>
      </c>
      <c r="H345" s="1" t="s">
        <v>337</v>
      </c>
      <c r="I345" s="1">
        <v>77.5</v>
      </c>
      <c r="J345" s="481" t="s">
        <v>157</v>
      </c>
    </row>
    <row r="346" spans="2:10" x14ac:dyDescent="0.2">
      <c r="B346" s="1" t="s">
        <v>545</v>
      </c>
      <c r="C346" s="481">
        <v>56</v>
      </c>
      <c r="D346" s="481">
        <v>85</v>
      </c>
      <c r="E346" s="481">
        <f t="shared" si="4"/>
        <v>70.5</v>
      </c>
      <c r="F346" s="481" t="s">
        <v>157</v>
      </c>
      <c r="H346" s="1" t="s">
        <v>339</v>
      </c>
      <c r="I346" s="1">
        <v>77</v>
      </c>
      <c r="J346" s="481" t="s">
        <v>157</v>
      </c>
    </row>
    <row r="347" spans="2:10" x14ac:dyDescent="0.2">
      <c r="B347" s="1" t="s">
        <v>546</v>
      </c>
      <c r="C347" s="481">
        <v>55</v>
      </c>
      <c r="D347" s="481">
        <v>85</v>
      </c>
      <c r="E347" s="481">
        <f t="shared" si="4"/>
        <v>70</v>
      </c>
      <c r="F347" s="481" t="s">
        <v>157</v>
      </c>
      <c r="H347" s="1" t="s">
        <v>341</v>
      </c>
      <c r="I347" s="1">
        <v>76.5</v>
      </c>
      <c r="J347" s="481" t="s">
        <v>157</v>
      </c>
    </row>
    <row r="348" spans="2:10" x14ac:dyDescent="0.2">
      <c r="B348" s="1" t="s">
        <v>547</v>
      </c>
      <c r="C348" s="481">
        <v>55</v>
      </c>
      <c r="D348" s="481">
        <v>75</v>
      </c>
      <c r="E348" s="481">
        <f t="shared" si="4"/>
        <v>65</v>
      </c>
      <c r="F348" s="481" t="s">
        <v>157</v>
      </c>
      <c r="H348" s="1" t="s">
        <v>343</v>
      </c>
      <c r="I348" s="1">
        <v>77.5</v>
      </c>
      <c r="J348" s="481" t="s">
        <v>157</v>
      </c>
    </row>
    <row r="349" spans="2:10" x14ac:dyDescent="0.2">
      <c r="B349" s="1" t="s">
        <v>548</v>
      </c>
      <c r="C349" s="481">
        <v>55</v>
      </c>
      <c r="D349" s="481">
        <v>85</v>
      </c>
      <c r="E349" s="481">
        <f t="shared" si="4"/>
        <v>70</v>
      </c>
      <c r="F349" s="481" t="s">
        <v>157</v>
      </c>
      <c r="H349" s="1" t="s">
        <v>345</v>
      </c>
      <c r="I349" s="1">
        <v>78</v>
      </c>
      <c r="J349" s="481" t="s">
        <v>157</v>
      </c>
    </row>
    <row r="350" spans="2:10" x14ac:dyDescent="0.2">
      <c r="B350" s="1" t="s">
        <v>549</v>
      </c>
      <c r="C350" s="481">
        <v>75</v>
      </c>
      <c r="D350" s="481">
        <v>80</v>
      </c>
      <c r="E350" s="481">
        <f t="shared" si="4"/>
        <v>77.5</v>
      </c>
      <c r="F350" s="481" t="s">
        <v>157</v>
      </c>
      <c r="H350" s="1" t="s">
        <v>347</v>
      </c>
      <c r="I350" s="1">
        <v>81.5</v>
      </c>
      <c r="J350" s="481" t="s">
        <v>157</v>
      </c>
    </row>
    <row r="351" spans="2:10" x14ac:dyDescent="0.2">
      <c r="F351" s="481"/>
      <c r="H351" s="1" t="s">
        <v>349</v>
      </c>
      <c r="I351" s="1">
        <v>81.5</v>
      </c>
      <c r="J351" s="481" t="s">
        <v>157</v>
      </c>
    </row>
    <row r="352" spans="2:10" x14ac:dyDescent="0.2">
      <c r="B352" s="1" t="s">
        <v>454</v>
      </c>
      <c r="F352" s="481"/>
      <c r="H352" s="1" t="s">
        <v>351</v>
      </c>
      <c r="I352" s="1">
        <v>79</v>
      </c>
      <c r="J352" s="481" t="s">
        <v>157</v>
      </c>
    </row>
    <row r="353" spans="2:10" x14ac:dyDescent="0.2">
      <c r="B353" s="1" t="s">
        <v>436</v>
      </c>
      <c r="C353" s="481">
        <v>73</v>
      </c>
      <c r="D353" s="481">
        <v>77</v>
      </c>
      <c r="E353" s="481">
        <f t="shared" si="4"/>
        <v>75</v>
      </c>
      <c r="F353" s="481" t="s">
        <v>157</v>
      </c>
      <c r="H353" s="1" t="s">
        <v>353</v>
      </c>
      <c r="I353" s="1">
        <v>70</v>
      </c>
      <c r="J353" s="481" t="s">
        <v>157</v>
      </c>
    </row>
    <row r="354" spans="2:10" x14ac:dyDescent="0.2">
      <c r="B354" s="1" t="s">
        <v>438</v>
      </c>
      <c r="C354" s="481">
        <v>74</v>
      </c>
      <c r="D354" s="481">
        <v>78</v>
      </c>
      <c r="E354" s="481">
        <f t="shared" si="4"/>
        <v>76</v>
      </c>
      <c r="F354" s="481" t="s">
        <v>157</v>
      </c>
      <c r="H354" s="1" t="s">
        <v>355</v>
      </c>
      <c r="I354" s="1">
        <v>81.5</v>
      </c>
      <c r="J354" s="1" t="s">
        <v>157</v>
      </c>
    </row>
    <row r="355" spans="2:10" x14ac:dyDescent="0.2">
      <c r="B355" s="1" t="s">
        <v>440</v>
      </c>
      <c r="C355" s="481">
        <v>70</v>
      </c>
      <c r="D355" s="481">
        <v>74</v>
      </c>
      <c r="E355" s="481">
        <f t="shared" si="4"/>
        <v>72</v>
      </c>
      <c r="F355" s="481" t="s">
        <v>157</v>
      </c>
      <c r="H355" s="1" t="s">
        <v>357</v>
      </c>
      <c r="I355" s="1">
        <v>75.5</v>
      </c>
      <c r="J355" s="1" t="s">
        <v>157</v>
      </c>
    </row>
    <row r="356" spans="2:10" x14ac:dyDescent="0.2">
      <c r="B356" s="1" t="s">
        <v>442</v>
      </c>
      <c r="C356" s="481">
        <v>68</v>
      </c>
      <c r="D356" s="481">
        <v>74</v>
      </c>
      <c r="E356" s="481">
        <f t="shared" si="4"/>
        <v>71</v>
      </c>
      <c r="F356" s="481" t="s">
        <v>157</v>
      </c>
      <c r="H356" s="1" t="s">
        <v>359</v>
      </c>
      <c r="I356" s="1">
        <v>75.5</v>
      </c>
      <c r="J356" s="1" t="s">
        <v>157</v>
      </c>
    </row>
    <row r="357" spans="2:10" x14ac:dyDescent="0.2">
      <c r="B357" s="1" t="s">
        <v>444</v>
      </c>
      <c r="C357" s="481">
        <v>72</v>
      </c>
      <c r="D357" s="481">
        <v>76</v>
      </c>
      <c r="E357" s="481">
        <f t="shared" si="4"/>
        <v>74</v>
      </c>
      <c r="F357" s="481" t="s">
        <v>157</v>
      </c>
      <c r="H357" s="1" t="s">
        <v>361</v>
      </c>
      <c r="I357" s="1">
        <v>77</v>
      </c>
      <c r="J357" s="1" t="s">
        <v>157</v>
      </c>
    </row>
    <row r="358" spans="2:10" x14ac:dyDescent="0.2">
      <c r="B358" s="1" t="s">
        <v>446</v>
      </c>
      <c r="C358" s="481">
        <v>74</v>
      </c>
      <c r="D358" s="481">
        <v>79</v>
      </c>
      <c r="E358" s="481">
        <f t="shared" si="4"/>
        <v>76.5</v>
      </c>
      <c r="F358" s="481" t="s">
        <v>157</v>
      </c>
      <c r="H358" s="1" t="s">
        <v>363</v>
      </c>
      <c r="I358" s="1">
        <v>72</v>
      </c>
      <c r="J358" s="481" t="s">
        <v>157</v>
      </c>
    </row>
    <row r="359" spans="2:10" x14ac:dyDescent="0.2">
      <c r="B359" s="1" t="s">
        <v>447</v>
      </c>
      <c r="C359" s="481">
        <v>63</v>
      </c>
      <c r="D359" s="481">
        <v>70</v>
      </c>
      <c r="E359" s="481">
        <f t="shared" si="4"/>
        <v>66.5</v>
      </c>
      <c r="F359" s="481" t="s">
        <v>157</v>
      </c>
      <c r="H359" s="1" t="s">
        <v>365</v>
      </c>
      <c r="I359" s="1">
        <v>76.5</v>
      </c>
      <c r="J359" s="481" t="s">
        <v>157</v>
      </c>
    </row>
    <row r="360" spans="2:10" x14ac:dyDescent="0.2">
      <c r="B360" s="1" t="s">
        <v>448</v>
      </c>
      <c r="C360" s="481">
        <v>70</v>
      </c>
      <c r="D360" s="481">
        <v>80</v>
      </c>
      <c r="E360" s="481">
        <f t="shared" si="4"/>
        <v>75</v>
      </c>
      <c r="F360" s="481" t="s">
        <v>157</v>
      </c>
      <c r="H360" s="1" t="s">
        <v>367</v>
      </c>
      <c r="I360" s="1">
        <v>40</v>
      </c>
      <c r="J360" s="481" t="s">
        <v>157</v>
      </c>
    </row>
    <row r="361" spans="2:10" x14ac:dyDescent="0.2">
      <c r="B361" s="1" t="s">
        <v>450</v>
      </c>
      <c r="C361" s="481">
        <v>72</v>
      </c>
      <c r="D361" s="481">
        <v>74</v>
      </c>
      <c r="E361" s="481">
        <f t="shared" si="4"/>
        <v>73</v>
      </c>
      <c r="F361" s="481" t="s">
        <v>185</v>
      </c>
      <c r="H361" s="1" t="s">
        <v>369</v>
      </c>
      <c r="I361" s="1">
        <v>70</v>
      </c>
      <c r="J361" s="481" t="s">
        <v>157</v>
      </c>
    </row>
    <row r="362" spans="2:10" x14ac:dyDescent="0.2">
      <c r="B362" s="1" t="s">
        <v>452</v>
      </c>
      <c r="C362" s="481">
        <v>90</v>
      </c>
      <c r="D362" s="481">
        <v>100</v>
      </c>
      <c r="E362" s="481">
        <f t="shared" si="4"/>
        <v>95</v>
      </c>
      <c r="F362" s="481" t="s">
        <v>157</v>
      </c>
      <c r="H362" s="1" t="s">
        <v>371</v>
      </c>
      <c r="I362" s="1">
        <v>75</v>
      </c>
      <c r="J362" s="481" t="s">
        <v>157</v>
      </c>
    </row>
    <row r="363" spans="2:10" x14ac:dyDescent="0.2">
      <c r="F363" s="481"/>
      <c r="H363" s="1" t="s">
        <v>373</v>
      </c>
      <c r="I363" s="1">
        <v>76.5</v>
      </c>
      <c r="J363" s="481" t="s">
        <v>157</v>
      </c>
    </row>
    <row r="364" spans="2:10" x14ac:dyDescent="0.2">
      <c r="B364" s="1" t="s">
        <v>364</v>
      </c>
      <c r="F364" s="481"/>
      <c r="H364" s="1" t="s">
        <v>375</v>
      </c>
      <c r="I364" s="1">
        <v>77.5</v>
      </c>
      <c r="J364" s="481" t="s">
        <v>157</v>
      </c>
    </row>
    <row r="365" spans="2:10" x14ac:dyDescent="0.2">
      <c r="B365" s="1" t="s">
        <v>366</v>
      </c>
      <c r="C365" s="481">
        <v>76</v>
      </c>
      <c r="D365" s="481">
        <v>80</v>
      </c>
      <c r="E365" s="481">
        <f t="shared" si="4"/>
        <v>78</v>
      </c>
      <c r="F365" s="481" t="s">
        <v>157</v>
      </c>
      <c r="H365" s="1" t="s">
        <v>377</v>
      </c>
      <c r="I365" s="1">
        <v>77.5</v>
      </c>
      <c r="J365" s="481" t="s">
        <v>157</v>
      </c>
    </row>
    <row r="366" spans="2:10" x14ac:dyDescent="0.2">
      <c r="B366" s="1" t="s">
        <v>368</v>
      </c>
      <c r="C366" s="481">
        <v>75</v>
      </c>
      <c r="D366" s="481">
        <v>79</v>
      </c>
      <c r="E366" s="481">
        <f t="shared" si="4"/>
        <v>77</v>
      </c>
      <c r="F366" s="481" t="s">
        <v>185</v>
      </c>
      <c r="H366" s="1" t="s">
        <v>379</v>
      </c>
      <c r="I366" s="1">
        <v>77.5</v>
      </c>
      <c r="J366" s="481" t="s">
        <v>157</v>
      </c>
    </row>
    <row r="367" spans="2:10" x14ac:dyDescent="0.2">
      <c r="B367" s="1" t="s">
        <v>370</v>
      </c>
      <c r="C367" s="481">
        <v>81</v>
      </c>
      <c r="D367" s="481">
        <v>84</v>
      </c>
      <c r="E367" s="481">
        <f t="shared" si="4"/>
        <v>82.5</v>
      </c>
      <c r="F367" s="481" t="s">
        <v>157</v>
      </c>
      <c r="H367" s="1" t="s">
        <v>381</v>
      </c>
      <c r="I367" s="1">
        <v>85</v>
      </c>
      <c r="J367" s="481" t="s">
        <v>157</v>
      </c>
    </row>
    <row r="368" spans="2:10" x14ac:dyDescent="0.2">
      <c r="B368" s="1" t="s">
        <v>372</v>
      </c>
      <c r="C368" s="481">
        <v>79</v>
      </c>
      <c r="D368" s="481">
        <v>83</v>
      </c>
      <c r="E368" s="481">
        <f t="shared" si="4"/>
        <v>81</v>
      </c>
      <c r="F368" s="481" t="s">
        <v>185</v>
      </c>
      <c r="H368" s="1" t="s">
        <v>383</v>
      </c>
      <c r="I368" s="1">
        <v>77.5</v>
      </c>
      <c r="J368" s="481" t="s">
        <v>157</v>
      </c>
    </row>
    <row r="369" spans="2:10" x14ac:dyDescent="0.2">
      <c r="B369" s="1" t="s">
        <v>374</v>
      </c>
      <c r="C369" s="481">
        <v>79</v>
      </c>
      <c r="D369" s="481">
        <v>81</v>
      </c>
      <c r="E369" s="481">
        <f t="shared" si="4"/>
        <v>80</v>
      </c>
      <c r="F369" s="481" t="s">
        <v>157</v>
      </c>
      <c r="H369" s="1" t="s">
        <v>385</v>
      </c>
      <c r="I369" s="1">
        <v>77.5</v>
      </c>
      <c r="J369" s="481" t="s">
        <v>157</v>
      </c>
    </row>
    <row r="370" spans="2:10" x14ac:dyDescent="0.2">
      <c r="B370" s="1" t="s">
        <v>376</v>
      </c>
      <c r="C370" s="481">
        <v>75</v>
      </c>
      <c r="D370" s="481">
        <v>79</v>
      </c>
      <c r="E370" s="481">
        <f t="shared" si="4"/>
        <v>77</v>
      </c>
      <c r="F370" s="481" t="s">
        <v>157</v>
      </c>
      <c r="H370" s="1" t="s">
        <v>387</v>
      </c>
      <c r="I370" s="1">
        <v>75</v>
      </c>
      <c r="J370" s="481" t="s">
        <v>157</v>
      </c>
    </row>
    <row r="371" spans="2:10" x14ac:dyDescent="0.2">
      <c r="B371" s="1" t="s">
        <v>378</v>
      </c>
      <c r="C371" s="481">
        <v>79</v>
      </c>
      <c r="D371" s="481">
        <v>81</v>
      </c>
      <c r="E371" s="481">
        <f t="shared" si="4"/>
        <v>80</v>
      </c>
      <c r="F371" s="481" t="s">
        <v>157</v>
      </c>
      <c r="H371" s="1" t="s">
        <v>389</v>
      </c>
      <c r="I371" s="1">
        <v>65</v>
      </c>
      <c r="J371" s="481" t="s">
        <v>157</v>
      </c>
    </row>
    <row r="372" spans="2:10" x14ac:dyDescent="0.2">
      <c r="B372" s="1" t="s">
        <v>380</v>
      </c>
      <c r="C372" s="481">
        <v>74</v>
      </c>
      <c r="D372" s="481">
        <v>76</v>
      </c>
      <c r="E372" s="481">
        <f t="shared" si="4"/>
        <v>75</v>
      </c>
      <c r="F372" s="481" t="s">
        <v>157</v>
      </c>
      <c r="H372" s="1" t="s">
        <v>391</v>
      </c>
      <c r="I372" s="1">
        <v>74</v>
      </c>
      <c r="J372" s="481" t="s">
        <v>157</v>
      </c>
    </row>
    <row r="373" spans="2:10" x14ac:dyDescent="0.2">
      <c r="B373" s="1" t="s">
        <v>382</v>
      </c>
      <c r="C373" s="481">
        <v>77</v>
      </c>
      <c r="D373" s="481">
        <v>81</v>
      </c>
      <c r="E373" s="481">
        <f t="shared" si="4"/>
        <v>79</v>
      </c>
      <c r="F373" s="481" t="s">
        <v>157</v>
      </c>
      <c r="H373" s="1" t="s">
        <v>393</v>
      </c>
      <c r="J373" s="481" t="s">
        <v>157</v>
      </c>
    </row>
    <row r="374" spans="2:10" x14ac:dyDescent="0.2">
      <c r="B374" s="1" t="s">
        <v>384</v>
      </c>
      <c r="C374" s="481">
        <v>77</v>
      </c>
      <c r="D374" s="481">
        <v>81</v>
      </c>
      <c r="E374" s="481">
        <f t="shared" si="4"/>
        <v>79</v>
      </c>
      <c r="F374" s="481" t="s">
        <v>157</v>
      </c>
      <c r="H374" s="1" t="s">
        <v>395</v>
      </c>
      <c r="I374" s="1">
        <v>78.5</v>
      </c>
      <c r="J374" s="481" t="s">
        <v>157</v>
      </c>
    </row>
    <row r="375" spans="2:10" x14ac:dyDescent="0.2">
      <c r="B375" s="1" t="s">
        <v>386</v>
      </c>
      <c r="C375" s="481">
        <v>81</v>
      </c>
      <c r="D375" s="481">
        <v>83</v>
      </c>
      <c r="E375" s="481">
        <f t="shared" si="4"/>
        <v>82</v>
      </c>
      <c r="F375" s="481" t="s">
        <v>157</v>
      </c>
      <c r="H375" s="1" t="s">
        <v>397</v>
      </c>
      <c r="I375" s="1">
        <v>80</v>
      </c>
      <c r="J375" s="481" t="s">
        <v>157</v>
      </c>
    </row>
    <row r="376" spans="2:10" x14ac:dyDescent="0.2">
      <c r="B376" s="1" t="s">
        <v>388</v>
      </c>
      <c r="C376" s="481">
        <v>76</v>
      </c>
      <c r="D376" s="481">
        <v>80</v>
      </c>
      <c r="E376" s="481">
        <f t="shared" si="4"/>
        <v>78</v>
      </c>
      <c r="F376" s="481" t="s">
        <v>157</v>
      </c>
      <c r="H376" s="1" t="s">
        <v>399</v>
      </c>
      <c r="J376" s="481" t="s">
        <v>157</v>
      </c>
    </row>
    <row r="377" spans="2:10" x14ac:dyDescent="0.2">
      <c r="B377" s="1" t="s">
        <v>390</v>
      </c>
      <c r="C377" s="481">
        <v>79</v>
      </c>
      <c r="D377" s="481">
        <v>83</v>
      </c>
      <c r="E377" s="481">
        <f t="shared" si="4"/>
        <v>81</v>
      </c>
      <c r="F377" s="481" t="s">
        <v>155</v>
      </c>
      <c r="H377" s="1" t="s">
        <v>401</v>
      </c>
      <c r="I377" s="1">
        <v>78.5</v>
      </c>
      <c r="J377" s="481" t="s">
        <v>157</v>
      </c>
    </row>
    <row r="378" spans="2:10" x14ac:dyDescent="0.2">
      <c r="B378" s="1" t="s">
        <v>392</v>
      </c>
      <c r="C378" s="481">
        <v>79</v>
      </c>
      <c r="D378" s="481">
        <v>83</v>
      </c>
      <c r="E378" s="481">
        <f t="shared" si="4"/>
        <v>81</v>
      </c>
      <c r="F378" s="481" t="s">
        <v>157</v>
      </c>
      <c r="H378" s="1" t="s">
        <v>403</v>
      </c>
      <c r="I378" s="1">
        <v>78.5</v>
      </c>
      <c r="J378" s="481" t="s">
        <v>157</v>
      </c>
    </row>
    <row r="379" spans="2:10" x14ac:dyDescent="0.2">
      <c r="B379" s="1" t="s">
        <v>394</v>
      </c>
      <c r="C379" s="481">
        <v>76</v>
      </c>
      <c r="D379" s="481">
        <v>79</v>
      </c>
      <c r="E379" s="481">
        <f t="shared" si="4"/>
        <v>77.5</v>
      </c>
      <c r="F379" s="481" t="s">
        <v>157</v>
      </c>
      <c r="H379" s="1" t="s">
        <v>405</v>
      </c>
      <c r="J379" s="481" t="s">
        <v>157</v>
      </c>
    </row>
    <row r="380" spans="2:10" x14ac:dyDescent="0.2">
      <c r="B380" s="1" t="s">
        <v>396</v>
      </c>
      <c r="C380" s="481">
        <v>69</v>
      </c>
      <c r="D380" s="481">
        <v>73</v>
      </c>
      <c r="E380" s="481">
        <f t="shared" si="4"/>
        <v>71</v>
      </c>
      <c r="F380" s="481" t="s">
        <v>157</v>
      </c>
      <c r="H380" s="1" t="s">
        <v>407</v>
      </c>
      <c r="J380" s="481" t="s">
        <v>157</v>
      </c>
    </row>
    <row r="381" spans="2:10" x14ac:dyDescent="0.2">
      <c r="B381" s="1" t="s">
        <v>398</v>
      </c>
      <c r="C381" s="481">
        <v>79</v>
      </c>
      <c r="D381" s="481">
        <v>83</v>
      </c>
      <c r="E381" s="481">
        <f t="shared" si="4"/>
        <v>81</v>
      </c>
      <c r="F381" s="481" t="s">
        <v>185</v>
      </c>
      <c r="H381" s="1" t="s">
        <v>409</v>
      </c>
      <c r="J381" s="481" t="s">
        <v>157</v>
      </c>
    </row>
    <row r="382" spans="2:10" x14ac:dyDescent="0.2">
      <c r="B382" s="1" t="s">
        <v>400</v>
      </c>
      <c r="C382" s="481">
        <v>80</v>
      </c>
      <c r="D382" s="481">
        <v>82</v>
      </c>
      <c r="E382" s="481">
        <f t="shared" si="4"/>
        <v>81</v>
      </c>
      <c r="F382" s="481" t="s">
        <v>157</v>
      </c>
      <c r="H382" s="1" t="s">
        <v>411</v>
      </c>
      <c r="I382" s="1">
        <v>74.5</v>
      </c>
      <c r="J382" s="481" t="s">
        <v>185</v>
      </c>
    </row>
    <row r="383" spans="2:10" x14ac:dyDescent="0.2">
      <c r="B383" s="1" t="s">
        <v>402</v>
      </c>
      <c r="C383" s="481">
        <v>79</v>
      </c>
      <c r="D383" s="481">
        <v>83</v>
      </c>
      <c r="E383" s="481">
        <f t="shared" si="4"/>
        <v>81</v>
      </c>
      <c r="F383" s="481" t="s">
        <v>157</v>
      </c>
      <c r="H383" s="1" t="s">
        <v>413</v>
      </c>
      <c r="I383" s="1">
        <v>77.5</v>
      </c>
      <c r="J383" s="481" t="s">
        <v>185</v>
      </c>
    </row>
    <row r="384" spans="2:10" x14ac:dyDescent="0.2">
      <c r="B384" s="1" t="s">
        <v>404</v>
      </c>
      <c r="C384" s="481">
        <v>80</v>
      </c>
      <c r="D384" s="481">
        <v>82</v>
      </c>
      <c r="E384" s="481">
        <f t="shared" si="4"/>
        <v>81</v>
      </c>
      <c r="F384" s="481" t="s">
        <v>157</v>
      </c>
      <c r="H384" s="1" t="s">
        <v>415</v>
      </c>
      <c r="I384" s="1">
        <v>67.5</v>
      </c>
      <c r="J384" s="481" t="s">
        <v>155</v>
      </c>
    </row>
    <row r="385" spans="2:10" x14ac:dyDescent="0.2">
      <c r="B385" s="1" t="s">
        <v>406</v>
      </c>
      <c r="C385" s="481">
        <v>74</v>
      </c>
      <c r="D385" s="481">
        <v>78</v>
      </c>
      <c r="E385" s="481">
        <f t="shared" si="4"/>
        <v>76</v>
      </c>
      <c r="F385" s="481" t="s">
        <v>185</v>
      </c>
      <c r="H385" s="1" t="s">
        <v>417</v>
      </c>
      <c r="I385" s="1">
        <v>69</v>
      </c>
      <c r="J385" s="481" t="s">
        <v>185</v>
      </c>
    </row>
    <row r="386" spans="2:10" x14ac:dyDescent="0.2">
      <c r="B386" s="1" t="s">
        <v>408</v>
      </c>
      <c r="C386" s="481">
        <v>80</v>
      </c>
      <c r="D386" s="481">
        <v>83</v>
      </c>
      <c r="E386" s="481">
        <f t="shared" si="4"/>
        <v>81.5</v>
      </c>
      <c r="F386" s="481" t="s">
        <v>157</v>
      </c>
      <c r="H386" s="1" t="s">
        <v>419</v>
      </c>
      <c r="I386" s="1">
        <v>69</v>
      </c>
      <c r="J386" s="481" t="s">
        <v>185</v>
      </c>
    </row>
    <row r="387" spans="2:10" x14ac:dyDescent="0.2">
      <c r="B387" s="1" t="s">
        <v>410</v>
      </c>
      <c r="C387" s="481">
        <v>83</v>
      </c>
      <c r="D387" s="481">
        <v>85</v>
      </c>
      <c r="E387" s="481">
        <f t="shared" si="4"/>
        <v>84</v>
      </c>
      <c r="F387" s="481" t="s">
        <v>157</v>
      </c>
      <c r="H387" s="1" t="s">
        <v>421</v>
      </c>
      <c r="I387" s="1">
        <v>76.5</v>
      </c>
      <c r="J387" s="481" t="s">
        <v>185</v>
      </c>
    </row>
    <row r="388" spans="2:10" x14ac:dyDescent="0.2">
      <c r="B388" s="1" t="s">
        <v>412</v>
      </c>
      <c r="C388" s="481">
        <v>78</v>
      </c>
      <c r="D388" s="481">
        <v>82</v>
      </c>
      <c r="E388" s="481">
        <f t="shared" si="4"/>
        <v>80</v>
      </c>
      <c r="F388" s="481" t="s">
        <v>157</v>
      </c>
      <c r="H388" s="1" t="s">
        <v>423</v>
      </c>
      <c r="I388" s="1">
        <v>73</v>
      </c>
      <c r="J388" s="481" t="s">
        <v>185</v>
      </c>
    </row>
    <row r="389" spans="2:10" x14ac:dyDescent="0.2">
      <c r="B389" s="1" t="s">
        <v>414</v>
      </c>
      <c r="C389" s="481">
        <v>79</v>
      </c>
      <c r="D389" s="481">
        <v>83</v>
      </c>
      <c r="E389" s="481">
        <f t="shared" si="4"/>
        <v>81</v>
      </c>
      <c r="F389" s="481" t="s">
        <v>157</v>
      </c>
      <c r="H389" s="1" t="s">
        <v>425</v>
      </c>
      <c r="I389" s="1">
        <v>73</v>
      </c>
      <c r="J389" s="481" t="s">
        <v>185</v>
      </c>
    </row>
    <row r="390" spans="2:10" x14ac:dyDescent="0.2">
      <c r="B390" s="1" t="s">
        <v>416</v>
      </c>
      <c r="C390" s="481">
        <v>75</v>
      </c>
      <c r="D390" s="481">
        <v>79</v>
      </c>
      <c r="E390" s="481">
        <f t="shared" si="4"/>
        <v>77</v>
      </c>
      <c r="F390" s="481" t="s">
        <v>157</v>
      </c>
      <c r="H390" s="1" t="s">
        <v>427</v>
      </c>
      <c r="I390" s="1">
        <v>72</v>
      </c>
      <c r="J390" s="481" t="s">
        <v>185</v>
      </c>
    </row>
    <row r="391" spans="2:10" x14ac:dyDescent="0.2">
      <c r="B391" s="1" t="s">
        <v>418</v>
      </c>
      <c r="C391" s="481">
        <v>75</v>
      </c>
      <c r="D391" s="481">
        <v>77</v>
      </c>
      <c r="E391" s="481">
        <f t="shared" si="4"/>
        <v>76</v>
      </c>
      <c r="F391" s="481" t="s">
        <v>155</v>
      </c>
      <c r="H391" s="1" t="s">
        <v>429</v>
      </c>
      <c r="I391" s="1">
        <v>77.5</v>
      </c>
      <c r="J391" s="481" t="s">
        <v>185</v>
      </c>
    </row>
    <row r="392" spans="2:10" x14ac:dyDescent="0.2">
      <c r="B392" s="1" t="s">
        <v>420</v>
      </c>
      <c r="C392" s="481">
        <v>71</v>
      </c>
      <c r="D392" s="481">
        <v>75</v>
      </c>
      <c r="E392" s="481">
        <f t="shared" si="4"/>
        <v>73</v>
      </c>
      <c r="F392" s="481" t="s">
        <v>157</v>
      </c>
      <c r="H392" s="1" t="s">
        <v>431</v>
      </c>
      <c r="I392" s="1">
        <v>76.5</v>
      </c>
      <c r="J392" s="481" t="s">
        <v>185</v>
      </c>
    </row>
    <row r="393" spans="2:10" x14ac:dyDescent="0.2">
      <c r="B393" s="1" t="s">
        <v>422</v>
      </c>
      <c r="C393" s="481">
        <v>74</v>
      </c>
      <c r="D393" s="481">
        <v>78</v>
      </c>
      <c r="E393" s="481">
        <f>AVERAGE(C393:D393)</f>
        <v>76</v>
      </c>
      <c r="F393" s="481" t="s">
        <v>157</v>
      </c>
      <c r="H393" s="1" t="s">
        <v>433</v>
      </c>
      <c r="I393" s="1">
        <v>75</v>
      </c>
      <c r="J393" s="481" t="s">
        <v>185</v>
      </c>
    </row>
    <row r="394" spans="2:10" x14ac:dyDescent="0.2">
      <c r="B394" s="1" t="s">
        <v>424</v>
      </c>
      <c r="C394" s="481">
        <v>75</v>
      </c>
      <c r="D394" s="481">
        <v>79</v>
      </c>
      <c r="E394" s="481">
        <f>AVERAGE(C394:D394)</f>
        <v>77</v>
      </c>
      <c r="F394" s="481" t="s">
        <v>157</v>
      </c>
      <c r="H394" s="1" t="s">
        <v>435</v>
      </c>
      <c r="I394" s="1">
        <v>70</v>
      </c>
      <c r="J394" s="481" t="s">
        <v>185</v>
      </c>
    </row>
    <row r="395" spans="2:10" x14ac:dyDescent="0.2">
      <c r="B395" s="1" t="s">
        <v>344</v>
      </c>
      <c r="C395" s="481">
        <v>58</v>
      </c>
      <c r="D395" s="481">
        <v>58</v>
      </c>
      <c r="E395" s="481">
        <f t="shared" si="4"/>
        <v>58</v>
      </c>
      <c r="F395" s="481" t="s">
        <v>157</v>
      </c>
      <c r="H395" s="1" t="s">
        <v>437</v>
      </c>
      <c r="I395" s="1">
        <v>68</v>
      </c>
      <c r="J395" s="481" t="s">
        <v>185</v>
      </c>
    </row>
    <row r="396" spans="2:10" x14ac:dyDescent="0.2">
      <c r="B396" s="1" t="s">
        <v>346</v>
      </c>
      <c r="C396" s="481">
        <v>79</v>
      </c>
      <c r="D396" s="481">
        <v>79</v>
      </c>
      <c r="E396" s="481">
        <f t="shared" si="4"/>
        <v>79</v>
      </c>
      <c r="F396" s="481" t="s">
        <v>157</v>
      </c>
      <c r="H396" s="1" t="s">
        <v>439</v>
      </c>
      <c r="I396" s="1">
        <v>75</v>
      </c>
      <c r="J396" s="481" t="s">
        <v>185</v>
      </c>
    </row>
    <row r="397" spans="2:10" x14ac:dyDescent="0.2">
      <c r="B397" s="1" t="s">
        <v>348</v>
      </c>
      <c r="C397" s="481">
        <v>40</v>
      </c>
      <c r="D397" s="481">
        <v>40</v>
      </c>
      <c r="E397" s="481">
        <f t="shared" si="4"/>
        <v>40</v>
      </c>
      <c r="F397" s="481" t="s">
        <v>157</v>
      </c>
      <c r="H397" s="1" t="s">
        <v>441</v>
      </c>
      <c r="I397" s="1">
        <v>69.5</v>
      </c>
      <c r="J397" s="481" t="s">
        <v>185</v>
      </c>
    </row>
    <row r="398" spans="2:10" x14ac:dyDescent="0.2">
      <c r="B398" s="1" t="s">
        <v>350</v>
      </c>
      <c r="C398" s="481">
        <v>89</v>
      </c>
      <c r="D398" s="481">
        <v>89</v>
      </c>
      <c r="E398" s="481">
        <f t="shared" si="4"/>
        <v>89</v>
      </c>
      <c r="F398" s="481" t="s">
        <v>157</v>
      </c>
      <c r="H398" s="1" t="s">
        <v>443</v>
      </c>
      <c r="I398" s="1">
        <v>77.5</v>
      </c>
      <c r="J398" s="481" t="s">
        <v>185</v>
      </c>
    </row>
    <row r="399" spans="2:10" x14ac:dyDescent="0.2">
      <c r="B399" s="1" t="s">
        <v>352</v>
      </c>
      <c r="C399" s="481">
        <v>89</v>
      </c>
      <c r="D399" s="481">
        <v>89</v>
      </c>
      <c r="E399" s="481">
        <f t="shared" si="4"/>
        <v>89</v>
      </c>
      <c r="F399" s="481" t="s">
        <v>157</v>
      </c>
      <c r="H399" s="1" t="s">
        <v>445</v>
      </c>
      <c r="I399" s="1">
        <v>74</v>
      </c>
      <c r="J399" s="481" t="s">
        <v>185</v>
      </c>
    </row>
    <row r="400" spans="2:10" x14ac:dyDescent="0.2">
      <c r="B400" s="1" t="s">
        <v>354</v>
      </c>
      <c r="C400" s="481">
        <v>77</v>
      </c>
      <c r="D400" s="481">
        <v>77</v>
      </c>
      <c r="E400" s="481">
        <f t="shared" si="4"/>
        <v>77</v>
      </c>
      <c r="F400" s="481" t="s">
        <v>157</v>
      </c>
      <c r="H400" s="480" t="s">
        <v>153</v>
      </c>
      <c r="I400" s="481"/>
      <c r="J400" s="481"/>
    </row>
    <row r="401" spans="2:10" x14ac:dyDescent="0.2">
      <c r="B401" s="1" t="s">
        <v>356</v>
      </c>
      <c r="C401" s="481">
        <v>78</v>
      </c>
      <c r="D401" s="481">
        <v>78</v>
      </c>
      <c r="E401" s="481">
        <f t="shared" si="4"/>
        <v>78</v>
      </c>
      <c r="F401" s="481" t="s">
        <v>157</v>
      </c>
      <c r="J401" s="481"/>
    </row>
    <row r="402" spans="2:10" x14ac:dyDescent="0.2">
      <c r="B402" s="1" t="s">
        <v>358</v>
      </c>
      <c r="C402" s="481">
        <v>83</v>
      </c>
      <c r="D402" s="481">
        <v>83</v>
      </c>
      <c r="E402" s="481">
        <f t="shared" si="4"/>
        <v>83</v>
      </c>
      <c r="F402" s="481" t="s">
        <v>157</v>
      </c>
      <c r="J402" s="481"/>
    </row>
    <row r="403" spans="2:10" x14ac:dyDescent="0.2">
      <c r="B403" s="1" t="s">
        <v>360</v>
      </c>
      <c r="C403" s="481">
        <v>89</v>
      </c>
      <c r="D403" s="481">
        <v>89</v>
      </c>
      <c r="E403" s="481">
        <f t="shared" si="4"/>
        <v>89</v>
      </c>
      <c r="F403" s="481" t="s">
        <v>157</v>
      </c>
      <c r="I403" s="481"/>
      <c r="J403" s="481"/>
    </row>
    <row r="404" spans="2:10" x14ac:dyDescent="0.2">
      <c r="B404" s="1" t="s">
        <v>362</v>
      </c>
      <c r="C404" s="481">
        <v>79</v>
      </c>
      <c r="D404" s="481">
        <v>79</v>
      </c>
      <c r="E404" s="481">
        <f t="shared" si="4"/>
        <v>79</v>
      </c>
      <c r="F404" s="481" t="s">
        <v>157</v>
      </c>
      <c r="J404" s="481"/>
    </row>
    <row r="405" spans="2:10" x14ac:dyDescent="0.2">
      <c r="F405" s="481"/>
      <c r="J405" s="481"/>
    </row>
    <row r="406" spans="2:10" x14ac:dyDescent="0.2">
      <c r="B406" s="1" t="s">
        <v>314</v>
      </c>
      <c r="C406" s="481">
        <v>73</v>
      </c>
      <c r="D406" s="481">
        <v>77</v>
      </c>
      <c r="E406" s="481">
        <f>AVERAGE(C406:D406)</f>
        <v>75</v>
      </c>
      <c r="F406" s="481" t="s">
        <v>157</v>
      </c>
      <c r="H406" s="480"/>
      <c r="J406" s="481"/>
    </row>
    <row r="407" spans="2:10" x14ac:dyDescent="0.2">
      <c r="F407" s="481"/>
      <c r="H407" s="480"/>
      <c r="J407" s="481"/>
    </row>
    <row r="408" spans="2:10" x14ac:dyDescent="0.2">
      <c r="B408" s="1" t="s">
        <v>483</v>
      </c>
      <c r="C408" s="481">
        <v>73</v>
      </c>
      <c r="D408" s="481">
        <v>77</v>
      </c>
      <c r="E408" s="481">
        <f>AVERAGE(C408:D408)</f>
        <v>75</v>
      </c>
      <c r="F408" s="481" t="s">
        <v>157</v>
      </c>
      <c r="J408" s="481"/>
    </row>
    <row r="409" spans="2:10" x14ac:dyDescent="0.2">
      <c r="F409" s="481"/>
      <c r="J409" s="481"/>
    </row>
    <row r="410" spans="2:10" x14ac:dyDescent="0.2">
      <c r="B410" s="1" t="s">
        <v>320</v>
      </c>
      <c r="C410" s="481">
        <v>67</v>
      </c>
      <c r="D410" s="481">
        <v>71</v>
      </c>
      <c r="E410" s="481">
        <f>AVERAGE(C410:D410)</f>
        <v>69</v>
      </c>
      <c r="F410" s="481" t="s">
        <v>157</v>
      </c>
      <c r="J410" s="481"/>
    </row>
    <row r="411" spans="2:10" x14ac:dyDescent="0.2">
      <c r="B411" s="1" t="s">
        <v>543</v>
      </c>
      <c r="C411" s="481">
        <v>61</v>
      </c>
      <c r="D411" s="481">
        <v>65</v>
      </c>
      <c r="E411" s="481">
        <f>AVERAGE(C411:D411)</f>
        <v>63</v>
      </c>
      <c r="F411" s="481" t="s">
        <v>157</v>
      </c>
    </row>
  </sheetData>
  <sortState xmlns:xlrd2="http://schemas.microsoft.com/office/spreadsheetml/2017/richdata2" ref="H3:J409">
    <sortCondition ref="H3"/>
  </sortState>
  <mergeCells count="1">
    <mergeCell ref="C2:D2"/>
  </mergeCells>
  <phoneticPr fontId="0"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tabColor theme="0" tint="-0.499984740745262"/>
  </sheetPr>
  <dimension ref="B1:W1641"/>
  <sheetViews>
    <sheetView showGridLines="0" showRowColHeaders="0" zoomScale="85" zoomScaleNormal="85" workbookViewId="0"/>
  </sheetViews>
  <sheetFormatPr defaultColWidth="9.42578125" defaultRowHeight="12.75" x14ac:dyDescent="0.2"/>
  <cols>
    <col min="1" max="1" width="2.5703125" style="1" customWidth="1"/>
    <col min="2" max="2" width="34.42578125" bestFit="1" customWidth="1"/>
    <col min="3" max="3" width="8.5703125" bestFit="1" customWidth="1"/>
    <col min="4" max="4" width="9.42578125" bestFit="1" customWidth="1"/>
    <col min="5" max="9" width="9" bestFit="1" customWidth="1"/>
    <col min="10" max="10" width="13.140625" customWidth="1"/>
    <col min="11" max="11" width="4.42578125" style="1" customWidth="1"/>
    <col min="12" max="12" width="18.5703125" style="1" bestFit="1" customWidth="1"/>
    <col min="13" max="13" width="6.42578125" style="6" bestFit="1" customWidth="1"/>
    <col min="14" max="14" width="9.42578125" style="6"/>
    <col min="15" max="15" width="34.28515625" style="1" hidden="1" customWidth="1"/>
    <col min="16" max="16" width="9" style="1" hidden="1" customWidth="1"/>
    <col min="17" max="17" width="10.42578125" style="1" hidden="1" customWidth="1"/>
    <col min="18" max="18" width="7.42578125" style="1" hidden="1" customWidth="1"/>
    <col min="19" max="19" width="6.5703125" style="1" hidden="1" customWidth="1"/>
    <col min="20" max="20" width="8.42578125" style="1" hidden="1" customWidth="1"/>
    <col min="21" max="21" width="5.85546875" style="1" hidden="1" customWidth="1"/>
    <col min="22" max="22" width="6.42578125" style="1" hidden="1" customWidth="1"/>
    <col min="23" max="23" width="255.7109375" style="1" hidden="1" customWidth="1"/>
    <col min="24" max="16384" width="9.42578125" style="1"/>
  </cols>
  <sheetData>
    <row r="1" spans="2:23" ht="18.75" x14ac:dyDescent="0.3">
      <c r="B1" s="5" t="s">
        <v>1650</v>
      </c>
      <c r="C1" s="1"/>
      <c r="D1" s="1"/>
      <c r="E1" s="1"/>
      <c r="F1" s="1"/>
      <c r="G1" s="1"/>
      <c r="H1" s="1"/>
      <c r="I1" s="1"/>
      <c r="J1" s="1"/>
    </row>
    <row r="2" spans="2:23" ht="17.25" customHeight="1" x14ac:dyDescent="0.25">
      <c r="B2" s="72" t="s">
        <v>550</v>
      </c>
      <c r="C2" s="73" t="s">
        <v>551</v>
      </c>
      <c r="D2" s="73" t="s">
        <v>552</v>
      </c>
      <c r="E2" s="73" t="s">
        <v>553</v>
      </c>
      <c r="F2" s="73" t="s">
        <v>62</v>
      </c>
      <c r="G2" s="73" t="s">
        <v>20</v>
      </c>
      <c r="H2" s="73" t="s">
        <v>27</v>
      </c>
      <c r="I2" s="73" t="s">
        <v>67</v>
      </c>
      <c r="J2" s="74" t="s">
        <v>1795</v>
      </c>
      <c r="L2" s="502"/>
      <c r="M2" s="496"/>
      <c r="N2" s="496"/>
    </row>
    <row r="3" spans="2:23" ht="12.75" customHeight="1" x14ac:dyDescent="0.2">
      <c r="B3" s="75" t="s">
        <v>554</v>
      </c>
      <c r="C3" s="76"/>
      <c r="D3" s="76"/>
      <c r="E3" s="76"/>
      <c r="F3" s="76"/>
      <c r="G3" s="76"/>
      <c r="H3" s="76"/>
      <c r="I3" s="76"/>
      <c r="J3" s="77"/>
      <c r="L3" s="503"/>
      <c r="M3" s="497"/>
      <c r="N3" s="497"/>
      <c r="O3" s="1" t="s">
        <v>555</v>
      </c>
      <c r="P3" s="1" t="s">
        <v>556</v>
      </c>
      <c r="Q3" s="1" t="s">
        <v>557</v>
      </c>
      <c r="R3" s="1" t="s">
        <v>558</v>
      </c>
      <c r="S3" s="1" t="s">
        <v>559</v>
      </c>
      <c r="T3" s="1" t="s">
        <v>1651</v>
      </c>
      <c r="U3" s="1" t="s">
        <v>560</v>
      </c>
      <c r="V3" s="1" t="s">
        <v>561</v>
      </c>
      <c r="W3" s="1" t="s">
        <v>1796</v>
      </c>
    </row>
    <row r="4" spans="2:23" ht="12.75" customHeight="1" x14ac:dyDescent="0.2">
      <c r="B4" s="78" t="s">
        <v>555</v>
      </c>
      <c r="C4" s="498" t="s">
        <v>556</v>
      </c>
      <c r="D4" s="498" t="s">
        <v>557</v>
      </c>
      <c r="E4" s="79" t="s">
        <v>558</v>
      </c>
      <c r="F4" s="80" t="s">
        <v>559</v>
      </c>
      <c r="G4" s="80" t="s">
        <v>1651</v>
      </c>
      <c r="H4" s="80" t="s">
        <v>560</v>
      </c>
      <c r="I4" s="80" t="s">
        <v>561</v>
      </c>
      <c r="J4" s="504" t="s">
        <v>1796</v>
      </c>
      <c r="L4" s="503"/>
      <c r="O4" s="1" t="s">
        <v>562</v>
      </c>
      <c r="P4" s="1" t="s">
        <v>563</v>
      </c>
      <c r="Q4" s="1" t="s">
        <v>564</v>
      </c>
      <c r="R4" s="1" t="s">
        <v>565</v>
      </c>
      <c r="S4" s="1" t="s">
        <v>566</v>
      </c>
      <c r="T4" s="7" t="s">
        <v>1652</v>
      </c>
      <c r="U4" s="1" t="s">
        <v>1653</v>
      </c>
      <c r="V4" s="1" t="s">
        <v>561</v>
      </c>
      <c r="W4" s="1" t="s">
        <v>1797</v>
      </c>
    </row>
    <row r="5" spans="2:23" ht="12.75" customHeight="1" x14ac:dyDescent="0.2">
      <c r="B5" s="78" t="s">
        <v>562</v>
      </c>
      <c r="C5" s="498" t="s">
        <v>563</v>
      </c>
      <c r="D5" s="498" t="s">
        <v>564</v>
      </c>
      <c r="E5" s="79" t="s">
        <v>565</v>
      </c>
      <c r="F5" s="80" t="s">
        <v>566</v>
      </c>
      <c r="G5" s="80" t="s">
        <v>1652</v>
      </c>
      <c r="H5" s="80" t="s">
        <v>1653</v>
      </c>
      <c r="I5" s="80" t="s">
        <v>561</v>
      </c>
      <c r="J5" s="505" t="s">
        <v>1797</v>
      </c>
      <c r="L5" s="503"/>
      <c r="O5" s="1" t="s">
        <v>569</v>
      </c>
      <c r="P5" s="1" t="s">
        <v>570</v>
      </c>
      <c r="Q5" s="1" t="s">
        <v>571</v>
      </c>
      <c r="R5" s="1" t="s">
        <v>572</v>
      </c>
      <c r="S5" s="1" t="s">
        <v>573</v>
      </c>
      <c r="T5" s="1" t="s">
        <v>1654</v>
      </c>
      <c r="U5" s="1" t="s">
        <v>574</v>
      </c>
      <c r="V5" s="1" t="s">
        <v>575</v>
      </c>
      <c r="W5" s="1" t="s">
        <v>1798</v>
      </c>
    </row>
    <row r="6" spans="2:23" ht="12.75" customHeight="1" x14ac:dyDescent="0.2">
      <c r="B6" s="78" t="s">
        <v>569</v>
      </c>
      <c r="C6" s="498" t="s">
        <v>570</v>
      </c>
      <c r="D6" s="498" t="s">
        <v>571</v>
      </c>
      <c r="E6" s="79" t="s">
        <v>572</v>
      </c>
      <c r="F6" s="80" t="s">
        <v>573</v>
      </c>
      <c r="G6" s="80" t="s">
        <v>1654</v>
      </c>
      <c r="H6" s="80" t="s">
        <v>574</v>
      </c>
      <c r="I6" s="80" t="s">
        <v>575</v>
      </c>
      <c r="J6" s="505" t="s">
        <v>1798</v>
      </c>
      <c r="L6" s="503"/>
      <c r="O6" s="1" t="s">
        <v>576</v>
      </c>
      <c r="P6" s="1" t="s">
        <v>577</v>
      </c>
      <c r="Q6" s="1" t="s">
        <v>578</v>
      </c>
      <c r="R6" s="1" t="s">
        <v>579</v>
      </c>
      <c r="S6" s="1" t="s">
        <v>580</v>
      </c>
      <c r="T6" s="1" t="s">
        <v>1655</v>
      </c>
      <c r="U6" s="1" t="s">
        <v>581</v>
      </c>
      <c r="V6" s="1" t="s">
        <v>582</v>
      </c>
      <c r="W6" s="1" t="s">
        <v>1799</v>
      </c>
    </row>
    <row r="7" spans="2:23" ht="12.75" customHeight="1" x14ac:dyDescent="0.2">
      <c r="B7" s="78" t="s">
        <v>576</v>
      </c>
      <c r="C7" s="498" t="s">
        <v>577</v>
      </c>
      <c r="D7" s="498" t="s">
        <v>578</v>
      </c>
      <c r="E7" s="79" t="s">
        <v>579</v>
      </c>
      <c r="F7" s="80" t="s">
        <v>580</v>
      </c>
      <c r="G7" s="80" t="s">
        <v>1655</v>
      </c>
      <c r="H7" s="80" t="s">
        <v>581</v>
      </c>
      <c r="I7" s="80" t="s">
        <v>582</v>
      </c>
      <c r="J7" s="504" t="s">
        <v>1799</v>
      </c>
      <c r="L7" s="503"/>
      <c r="O7" s="1" t="s">
        <v>554</v>
      </c>
    </row>
    <row r="8" spans="2:23" ht="12.75" customHeight="1" x14ac:dyDescent="0.2">
      <c r="B8" s="75" t="s">
        <v>583</v>
      </c>
      <c r="C8" s="81"/>
      <c r="D8" s="81"/>
      <c r="E8" s="81"/>
      <c r="F8" s="81"/>
      <c r="G8" s="81"/>
      <c r="H8" s="81"/>
      <c r="I8" s="81"/>
      <c r="J8" s="506"/>
      <c r="L8" s="503"/>
      <c r="M8" s="497"/>
      <c r="N8" s="497"/>
      <c r="O8" s="1" t="s">
        <v>585</v>
      </c>
      <c r="P8" s="1" t="s">
        <v>586</v>
      </c>
      <c r="Q8" s="1" t="s">
        <v>587</v>
      </c>
      <c r="R8" s="1" t="s">
        <v>746</v>
      </c>
      <c r="S8" s="1" t="s">
        <v>588</v>
      </c>
      <c r="T8" s="1" t="s">
        <v>1656</v>
      </c>
      <c r="U8" s="1" t="s">
        <v>589</v>
      </c>
      <c r="V8" s="1" t="s">
        <v>561</v>
      </c>
      <c r="W8" s="1" t="s">
        <v>1800</v>
      </c>
    </row>
    <row r="9" spans="2:23" ht="12.75" customHeight="1" x14ac:dyDescent="0.2">
      <c r="B9" s="78" t="s">
        <v>585</v>
      </c>
      <c r="C9" s="498" t="s">
        <v>586</v>
      </c>
      <c r="D9" s="498" t="s">
        <v>587</v>
      </c>
      <c r="E9" s="79" t="s">
        <v>746</v>
      </c>
      <c r="F9" s="80" t="s">
        <v>588</v>
      </c>
      <c r="G9" s="80" t="s">
        <v>1656</v>
      </c>
      <c r="H9" s="80" t="s">
        <v>589</v>
      </c>
      <c r="I9" s="80" t="s">
        <v>561</v>
      </c>
      <c r="J9" s="504" t="s">
        <v>1800</v>
      </c>
      <c r="L9" s="503"/>
      <c r="O9" s="1" t="s">
        <v>590</v>
      </c>
      <c r="P9" s="1" t="s">
        <v>570</v>
      </c>
      <c r="Q9" s="1" t="s">
        <v>591</v>
      </c>
      <c r="R9" s="1" t="s">
        <v>746</v>
      </c>
      <c r="S9" s="1" t="s">
        <v>592</v>
      </c>
      <c r="T9" s="1" t="s">
        <v>1657</v>
      </c>
      <c r="U9" s="1" t="s">
        <v>752</v>
      </c>
      <c r="V9" s="1" t="s">
        <v>593</v>
      </c>
      <c r="W9" s="1" t="s">
        <v>1801</v>
      </c>
    </row>
    <row r="10" spans="2:23" ht="12.75" customHeight="1" x14ac:dyDescent="0.2">
      <c r="B10" s="78" t="s">
        <v>590</v>
      </c>
      <c r="C10" s="498" t="s">
        <v>570</v>
      </c>
      <c r="D10" s="498" t="s">
        <v>591</v>
      </c>
      <c r="E10" s="79" t="s">
        <v>746</v>
      </c>
      <c r="F10" s="80" t="s">
        <v>592</v>
      </c>
      <c r="G10" s="80" t="s">
        <v>1657</v>
      </c>
      <c r="H10" s="80" t="s">
        <v>752</v>
      </c>
      <c r="I10" s="80" t="s">
        <v>593</v>
      </c>
      <c r="J10" s="505" t="s">
        <v>1801</v>
      </c>
      <c r="L10" s="503"/>
      <c r="O10" s="1" t="s">
        <v>594</v>
      </c>
      <c r="P10" s="1" t="s">
        <v>595</v>
      </c>
      <c r="Q10" s="1" t="s">
        <v>587</v>
      </c>
      <c r="R10" s="1" t="s">
        <v>596</v>
      </c>
      <c r="S10" s="1" t="s">
        <v>573</v>
      </c>
      <c r="T10" s="1" t="s">
        <v>1658</v>
      </c>
      <c r="U10" s="1" t="s">
        <v>1659</v>
      </c>
      <c r="V10" s="1" t="s">
        <v>561</v>
      </c>
      <c r="W10" s="1" t="s">
        <v>1802</v>
      </c>
    </row>
    <row r="11" spans="2:23" ht="12.75" customHeight="1" x14ac:dyDescent="0.2">
      <c r="B11" s="78" t="s">
        <v>594</v>
      </c>
      <c r="C11" s="498" t="s">
        <v>595</v>
      </c>
      <c r="D11" s="498" t="s">
        <v>587</v>
      </c>
      <c r="E11" s="79" t="s">
        <v>596</v>
      </c>
      <c r="F11" s="80" t="s">
        <v>573</v>
      </c>
      <c r="G11" s="80" t="s">
        <v>1658</v>
      </c>
      <c r="H11" s="80" t="s">
        <v>1659</v>
      </c>
      <c r="I11" s="80" t="s">
        <v>561</v>
      </c>
      <c r="J11" s="504" t="s">
        <v>1802</v>
      </c>
      <c r="L11" s="503"/>
      <c r="O11" s="1" t="s">
        <v>583</v>
      </c>
    </row>
    <row r="12" spans="2:23" ht="12.75" customHeight="1" x14ac:dyDescent="0.2">
      <c r="B12" s="75" t="s">
        <v>598</v>
      </c>
      <c r="C12" s="81"/>
      <c r="D12" s="81"/>
      <c r="E12" s="81"/>
      <c r="F12" s="81"/>
      <c r="G12" s="81"/>
      <c r="H12" s="81"/>
      <c r="I12" s="81"/>
      <c r="J12" s="506"/>
      <c r="O12" s="1" t="s">
        <v>599</v>
      </c>
      <c r="P12" s="1" t="s">
        <v>600</v>
      </c>
      <c r="Q12" s="1" t="s">
        <v>591</v>
      </c>
      <c r="R12" s="1" t="s">
        <v>601</v>
      </c>
      <c r="S12" s="1" t="s">
        <v>602</v>
      </c>
      <c r="T12" s="1" t="s">
        <v>1660</v>
      </c>
      <c r="U12" s="1" t="s">
        <v>581</v>
      </c>
      <c r="V12" s="1" t="s">
        <v>568</v>
      </c>
      <c r="W12" s="1" t="s">
        <v>1803</v>
      </c>
    </row>
    <row r="13" spans="2:23" ht="12.75" customHeight="1" x14ac:dyDescent="0.2">
      <c r="B13" s="78" t="s">
        <v>599</v>
      </c>
      <c r="C13" s="498" t="s">
        <v>600</v>
      </c>
      <c r="D13" s="498" t="s">
        <v>591</v>
      </c>
      <c r="E13" s="79" t="s">
        <v>601</v>
      </c>
      <c r="F13" s="80" t="s">
        <v>602</v>
      </c>
      <c r="G13" s="80" t="s">
        <v>1660</v>
      </c>
      <c r="H13" s="80" t="s">
        <v>581</v>
      </c>
      <c r="I13" s="80" t="s">
        <v>568</v>
      </c>
      <c r="J13" s="504" t="s">
        <v>1803</v>
      </c>
      <c r="O13" s="1" t="s">
        <v>603</v>
      </c>
      <c r="P13" s="1" t="s">
        <v>604</v>
      </c>
      <c r="Q13" s="1" t="s">
        <v>605</v>
      </c>
      <c r="R13" s="1" t="s">
        <v>606</v>
      </c>
      <c r="S13" s="1" t="s">
        <v>607</v>
      </c>
      <c r="T13" s="1" t="s">
        <v>1661</v>
      </c>
      <c r="U13" s="1" t="s">
        <v>608</v>
      </c>
      <c r="V13" s="1" t="s">
        <v>568</v>
      </c>
      <c r="W13" s="1" t="s">
        <v>1804</v>
      </c>
    </row>
    <row r="14" spans="2:23" ht="12.75" customHeight="1" x14ac:dyDescent="0.2">
      <c r="B14" s="78" t="s">
        <v>603</v>
      </c>
      <c r="C14" s="498" t="s">
        <v>604</v>
      </c>
      <c r="D14" s="498" t="s">
        <v>605</v>
      </c>
      <c r="E14" s="79" t="s">
        <v>606</v>
      </c>
      <c r="F14" s="80" t="s">
        <v>607</v>
      </c>
      <c r="G14" s="80" t="s">
        <v>1661</v>
      </c>
      <c r="H14" s="80" t="s">
        <v>608</v>
      </c>
      <c r="I14" s="80" t="s">
        <v>568</v>
      </c>
      <c r="J14" s="505" t="s">
        <v>1804</v>
      </c>
      <c r="N14" s="499"/>
      <c r="O14" s="1" t="s">
        <v>609</v>
      </c>
      <c r="P14" s="1" t="s">
        <v>604</v>
      </c>
      <c r="Q14" s="1" t="s">
        <v>605</v>
      </c>
      <c r="R14" s="1" t="s">
        <v>610</v>
      </c>
      <c r="S14" s="1" t="s">
        <v>602</v>
      </c>
      <c r="T14" s="1" t="s">
        <v>1662</v>
      </c>
      <c r="U14" s="1" t="s">
        <v>611</v>
      </c>
      <c r="V14" s="1" t="s">
        <v>568</v>
      </c>
      <c r="W14" s="1" t="s">
        <v>1805</v>
      </c>
    </row>
    <row r="15" spans="2:23" ht="12.75" customHeight="1" x14ac:dyDescent="0.2">
      <c r="B15" s="78" t="s">
        <v>609</v>
      </c>
      <c r="C15" s="498" t="s">
        <v>604</v>
      </c>
      <c r="D15" s="498" t="s">
        <v>605</v>
      </c>
      <c r="E15" s="79" t="s">
        <v>610</v>
      </c>
      <c r="F15" s="80" t="s">
        <v>602</v>
      </c>
      <c r="G15" s="80" t="s">
        <v>1662</v>
      </c>
      <c r="H15" s="80" t="s">
        <v>611</v>
      </c>
      <c r="I15" s="80" t="s">
        <v>568</v>
      </c>
      <c r="J15" s="504" t="s">
        <v>1805</v>
      </c>
      <c r="N15" s="483"/>
      <c r="O15" s="1" t="s">
        <v>598</v>
      </c>
    </row>
    <row r="16" spans="2:23" ht="12.75" customHeight="1" x14ac:dyDescent="0.2">
      <c r="B16" s="78" t="s">
        <v>612</v>
      </c>
      <c r="C16" s="498" t="s">
        <v>604</v>
      </c>
      <c r="D16" s="498" t="s">
        <v>605</v>
      </c>
      <c r="E16" s="79" t="s">
        <v>610</v>
      </c>
      <c r="F16" s="80" t="s">
        <v>613</v>
      </c>
      <c r="G16" s="80" t="s">
        <v>1663</v>
      </c>
      <c r="H16" s="80" t="s">
        <v>815</v>
      </c>
      <c r="I16" s="80" t="s">
        <v>568</v>
      </c>
      <c r="J16" s="505" t="s">
        <v>1806</v>
      </c>
      <c r="N16" s="500"/>
      <c r="O16" s="1" t="s">
        <v>612</v>
      </c>
      <c r="P16" s="1" t="s">
        <v>604</v>
      </c>
      <c r="Q16" s="1" t="s">
        <v>605</v>
      </c>
      <c r="R16" s="1" t="s">
        <v>610</v>
      </c>
      <c r="S16" s="1" t="s">
        <v>613</v>
      </c>
      <c r="T16" s="1" t="s">
        <v>1663</v>
      </c>
      <c r="U16" s="1" t="s">
        <v>815</v>
      </c>
      <c r="V16" s="1" t="s">
        <v>568</v>
      </c>
      <c r="W16" s="1" t="s">
        <v>1806</v>
      </c>
    </row>
    <row r="17" spans="2:23" ht="12.75" customHeight="1" x14ac:dyDescent="0.2">
      <c r="B17" s="75" t="s">
        <v>614</v>
      </c>
      <c r="C17" s="81"/>
      <c r="D17" s="81"/>
      <c r="E17" s="81"/>
      <c r="F17" s="81"/>
      <c r="G17" s="81"/>
      <c r="H17" s="81"/>
      <c r="I17" s="81"/>
      <c r="J17" s="506"/>
      <c r="N17" s="501"/>
      <c r="O17" s="1" t="s">
        <v>615</v>
      </c>
      <c r="P17" s="1" t="s">
        <v>616</v>
      </c>
      <c r="Q17" s="1" t="s">
        <v>571</v>
      </c>
      <c r="R17" s="1" t="s">
        <v>617</v>
      </c>
      <c r="S17" s="1" t="s">
        <v>618</v>
      </c>
      <c r="T17" s="1" t="s">
        <v>1664</v>
      </c>
      <c r="U17" s="1" t="s">
        <v>619</v>
      </c>
      <c r="V17" s="1" t="s">
        <v>620</v>
      </c>
      <c r="W17" s="1" t="s">
        <v>1807</v>
      </c>
    </row>
    <row r="18" spans="2:23" ht="12.75" customHeight="1" x14ac:dyDescent="0.2">
      <c r="B18" s="78" t="s">
        <v>615</v>
      </c>
      <c r="C18" s="498" t="s">
        <v>616</v>
      </c>
      <c r="D18" s="498" t="s">
        <v>571</v>
      </c>
      <c r="E18" s="79" t="s">
        <v>617</v>
      </c>
      <c r="F18" s="80" t="s">
        <v>618</v>
      </c>
      <c r="G18" s="80" t="s">
        <v>1664</v>
      </c>
      <c r="H18" s="80" t="s">
        <v>619</v>
      </c>
      <c r="I18" s="80" t="s">
        <v>620</v>
      </c>
      <c r="J18" s="505" t="s">
        <v>1807</v>
      </c>
      <c r="N18" s="501"/>
      <c r="O18" s="1" t="s">
        <v>621</v>
      </c>
      <c r="P18" s="1" t="s">
        <v>622</v>
      </c>
      <c r="Q18" s="1" t="s">
        <v>623</v>
      </c>
      <c r="R18" s="1" t="s">
        <v>624</v>
      </c>
      <c r="S18" s="1" t="s">
        <v>588</v>
      </c>
      <c r="T18" s="1" t="s">
        <v>1665</v>
      </c>
      <c r="U18" s="1" t="s">
        <v>1666</v>
      </c>
      <c r="V18" s="1" t="s">
        <v>575</v>
      </c>
      <c r="W18" s="1" t="s">
        <v>1808</v>
      </c>
    </row>
    <row r="19" spans="2:23" ht="12.75" customHeight="1" x14ac:dyDescent="0.2">
      <c r="B19" s="78" t="s">
        <v>621</v>
      </c>
      <c r="C19" s="498" t="s">
        <v>622</v>
      </c>
      <c r="D19" s="498" t="s">
        <v>623</v>
      </c>
      <c r="E19" s="79" t="s">
        <v>624</v>
      </c>
      <c r="F19" s="80" t="s">
        <v>588</v>
      </c>
      <c r="G19" s="80" t="s">
        <v>1665</v>
      </c>
      <c r="H19" s="80" t="s">
        <v>1666</v>
      </c>
      <c r="I19" s="80" t="s">
        <v>575</v>
      </c>
      <c r="J19" s="505" t="s">
        <v>1808</v>
      </c>
      <c r="N19" s="501"/>
      <c r="O19" s="1" t="s">
        <v>626</v>
      </c>
      <c r="P19" s="1" t="s">
        <v>627</v>
      </c>
      <c r="Q19" s="1" t="s">
        <v>628</v>
      </c>
      <c r="R19" s="1" t="s">
        <v>629</v>
      </c>
      <c r="S19" s="1" t="s">
        <v>630</v>
      </c>
      <c r="T19" s="1" t="s">
        <v>1667</v>
      </c>
      <c r="U19" s="1" t="s">
        <v>1668</v>
      </c>
      <c r="V19" s="1" t="s">
        <v>631</v>
      </c>
      <c r="W19" s="1" t="s">
        <v>1809</v>
      </c>
    </row>
    <row r="20" spans="2:23" ht="12.75" customHeight="1" x14ac:dyDescent="0.2">
      <c r="B20" s="78" t="s">
        <v>626</v>
      </c>
      <c r="C20" s="498" t="s">
        <v>627</v>
      </c>
      <c r="D20" s="498" t="s">
        <v>628</v>
      </c>
      <c r="E20" s="79" t="s">
        <v>629</v>
      </c>
      <c r="F20" s="80" t="s">
        <v>630</v>
      </c>
      <c r="G20" s="80" t="s">
        <v>1667</v>
      </c>
      <c r="H20" s="80" t="s">
        <v>1668</v>
      </c>
      <c r="I20" s="80" t="s">
        <v>631</v>
      </c>
      <c r="J20" s="504" t="s">
        <v>1809</v>
      </c>
      <c r="N20" s="501"/>
      <c r="O20" s="1" t="s">
        <v>614</v>
      </c>
    </row>
    <row r="21" spans="2:23" ht="12.75" customHeight="1" x14ac:dyDescent="0.2">
      <c r="B21" s="75" t="s">
        <v>632</v>
      </c>
      <c r="C21" s="81"/>
      <c r="D21" s="81"/>
      <c r="E21" s="81"/>
      <c r="F21" s="81"/>
      <c r="G21" s="81"/>
      <c r="H21" s="81"/>
      <c r="I21" s="81"/>
      <c r="J21" s="506"/>
      <c r="N21" s="501"/>
      <c r="O21" s="1" t="s">
        <v>633</v>
      </c>
      <c r="P21" s="1" t="s">
        <v>634</v>
      </c>
      <c r="Q21" s="1" t="s">
        <v>635</v>
      </c>
      <c r="R21" s="1" t="s">
        <v>636</v>
      </c>
      <c r="S21" s="1" t="s">
        <v>637</v>
      </c>
      <c r="T21" s="1" t="s">
        <v>1669</v>
      </c>
      <c r="U21" s="1" t="s">
        <v>1670</v>
      </c>
      <c r="V21" s="1" t="s">
        <v>639</v>
      </c>
      <c r="W21" s="1" t="s">
        <v>1810</v>
      </c>
    </row>
    <row r="22" spans="2:23" ht="12.75" customHeight="1" x14ac:dyDescent="0.2">
      <c r="B22" s="78" t="s">
        <v>633</v>
      </c>
      <c r="C22" s="498" t="s">
        <v>634</v>
      </c>
      <c r="D22" s="498" t="s">
        <v>635</v>
      </c>
      <c r="E22" s="79" t="s">
        <v>636</v>
      </c>
      <c r="F22" s="80" t="s">
        <v>637</v>
      </c>
      <c r="G22" s="80" t="s">
        <v>1669</v>
      </c>
      <c r="H22" s="80" t="s">
        <v>1670</v>
      </c>
      <c r="I22" s="80" t="s">
        <v>639</v>
      </c>
      <c r="J22" s="504" t="s">
        <v>1810</v>
      </c>
      <c r="N22" s="501"/>
      <c r="O22" s="1" t="s">
        <v>640</v>
      </c>
      <c r="P22" s="1" t="s">
        <v>641</v>
      </c>
      <c r="Q22" s="1" t="s">
        <v>642</v>
      </c>
      <c r="R22" s="1" t="s">
        <v>643</v>
      </c>
      <c r="S22" s="1" t="s">
        <v>644</v>
      </c>
      <c r="T22" s="1" t="s">
        <v>1671</v>
      </c>
      <c r="U22" s="1" t="s">
        <v>645</v>
      </c>
      <c r="V22" s="1" t="s">
        <v>639</v>
      </c>
      <c r="W22" s="1" t="s">
        <v>1811</v>
      </c>
    </row>
    <row r="23" spans="2:23" ht="12.75" customHeight="1" x14ac:dyDescent="0.2">
      <c r="B23" s="78" t="s">
        <v>640</v>
      </c>
      <c r="C23" s="498" t="s">
        <v>641</v>
      </c>
      <c r="D23" s="498" t="s">
        <v>642</v>
      </c>
      <c r="E23" s="79" t="s">
        <v>643</v>
      </c>
      <c r="F23" s="80" t="s">
        <v>644</v>
      </c>
      <c r="G23" s="80" t="s">
        <v>1671</v>
      </c>
      <c r="H23" s="80" t="s">
        <v>645</v>
      </c>
      <c r="I23" s="80" t="s">
        <v>639</v>
      </c>
      <c r="J23" s="505" t="s">
        <v>1811</v>
      </c>
      <c r="N23" s="501"/>
      <c r="O23" s="1" t="s">
        <v>646</v>
      </c>
      <c r="P23" s="1" t="s">
        <v>1672</v>
      </c>
      <c r="Q23" s="1" t="s">
        <v>1011</v>
      </c>
      <c r="R23" s="1" t="s">
        <v>1673</v>
      </c>
      <c r="S23" s="1" t="s">
        <v>650</v>
      </c>
      <c r="T23" s="1" t="s">
        <v>1674</v>
      </c>
      <c r="U23" s="1" t="s">
        <v>1666</v>
      </c>
      <c r="V23" s="1" t="s">
        <v>651</v>
      </c>
      <c r="W23" s="1" t="s">
        <v>1812</v>
      </c>
    </row>
    <row r="24" spans="2:23" ht="12.75" customHeight="1" x14ac:dyDescent="0.2">
      <c r="B24" s="78" t="s">
        <v>646</v>
      </c>
      <c r="C24" s="498" t="s">
        <v>1672</v>
      </c>
      <c r="D24" s="498" t="s">
        <v>1011</v>
      </c>
      <c r="E24" s="79" t="s">
        <v>1673</v>
      </c>
      <c r="F24" s="80" t="s">
        <v>650</v>
      </c>
      <c r="G24" s="80" t="s">
        <v>1674</v>
      </c>
      <c r="H24" s="80" t="s">
        <v>1666</v>
      </c>
      <c r="I24" s="80" t="s">
        <v>651</v>
      </c>
      <c r="J24" s="504" t="s">
        <v>1812</v>
      </c>
      <c r="N24" s="501"/>
      <c r="O24" s="1" t="s">
        <v>652</v>
      </c>
      <c r="P24" s="1" t="s">
        <v>641</v>
      </c>
      <c r="Q24" s="1" t="s">
        <v>578</v>
      </c>
      <c r="R24" s="1" t="s">
        <v>643</v>
      </c>
      <c r="S24" s="1" t="s">
        <v>653</v>
      </c>
      <c r="T24" s="1" t="s">
        <v>1675</v>
      </c>
      <c r="U24" s="1" t="s">
        <v>567</v>
      </c>
      <c r="V24" s="1" t="s">
        <v>654</v>
      </c>
      <c r="W24" s="1" t="s">
        <v>1813</v>
      </c>
    </row>
    <row r="25" spans="2:23" ht="12.75" customHeight="1" x14ac:dyDescent="0.2">
      <c r="B25" s="78" t="s">
        <v>652</v>
      </c>
      <c r="C25" s="498" t="s">
        <v>641</v>
      </c>
      <c r="D25" s="498" t="s">
        <v>578</v>
      </c>
      <c r="E25" s="79" t="s">
        <v>643</v>
      </c>
      <c r="F25" s="80" t="s">
        <v>653</v>
      </c>
      <c r="G25" s="80" t="s">
        <v>1675</v>
      </c>
      <c r="H25" s="80" t="s">
        <v>567</v>
      </c>
      <c r="I25" s="80" t="s">
        <v>654</v>
      </c>
      <c r="J25" s="504" t="s">
        <v>1813</v>
      </c>
      <c r="N25" s="501"/>
      <c r="O25" s="1" t="s">
        <v>632</v>
      </c>
    </row>
    <row r="26" spans="2:23" ht="12.75" customHeight="1" x14ac:dyDescent="0.2">
      <c r="B26" s="75" t="s">
        <v>655</v>
      </c>
      <c r="C26" s="81"/>
      <c r="D26" s="81"/>
      <c r="E26" s="81"/>
      <c r="F26" s="81"/>
      <c r="G26" s="81"/>
      <c r="H26" s="81"/>
      <c r="I26" s="81"/>
      <c r="J26" s="506"/>
      <c r="N26" s="501"/>
      <c r="O26" s="1" t="s">
        <v>656</v>
      </c>
      <c r="P26" s="1" t="s">
        <v>657</v>
      </c>
      <c r="Q26" s="1" t="s">
        <v>658</v>
      </c>
      <c r="R26" s="1" t="s">
        <v>1676</v>
      </c>
      <c r="S26" s="1" t="s">
        <v>659</v>
      </c>
      <c r="T26" s="1" t="s">
        <v>1677</v>
      </c>
      <c r="U26" s="1" t="s">
        <v>660</v>
      </c>
      <c r="V26" s="1" t="s">
        <v>575</v>
      </c>
      <c r="W26" s="1" t="s">
        <v>1814</v>
      </c>
    </row>
    <row r="27" spans="2:23" ht="12.75" customHeight="1" x14ac:dyDescent="0.2">
      <c r="B27" s="78" t="s">
        <v>656</v>
      </c>
      <c r="C27" s="498" t="s">
        <v>657</v>
      </c>
      <c r="D27" s="498" t="s">
        <v>658</v>
      </c>
      <c r="E27" s="79" t="s">
        <v>1676</v>
      </c>
      <c r="F27" s="80" t="s">
        <v>659</v>
      </c>
      <c r="G27" s="80" t="s">
        <v>1677</v>
      </c>
      <c r="H27" s="80" t="s">
        <v>660</v>
      </c>
      <c r="I27" s="80" t="s">
        <v>575</v>
      </c>
      <c r="J27" s="505" t="s">
        <v>1814</v>
      </c>
      <c r="N27" s="501"/>
      <c r="O27" s="1" t="s">
        <v>655</v>
      </c>
    </row>
    <row r="28" spans="2:23" ht="12.75" customHeight="1" x14ac:dyDescent="0.2">
      <c r="B28" s="78" t="s">
        <v>661</v>
      </c>
      <c r="C28" s="498" t="s">
        <v>662</v>
      </c>
      <c r="D28" s="498" t="s">
        <v>663</v>
      </c>
      <c r="E28" s="79" t="s">
        <v>649</v>
      </c>
      <c r="F28" s="80" t="s">
        <v>650</v>
      </c>
      <c r="G28" s="80" t="s">
        <v>1678</v>
      </c>
      <c r="H28" s="80" t="s">
        <v>664</v>
      </c>
      <c r="I28" s="80" t="s">
        <v>665</v>
      </c>
      <c r="J28" s="504" t="s">
        <v>1815</v>
      </c>
      <c r="N28" s="501"/>
      <c r="O28" s="1" t="s">
        <v>661</v>
      </c>
      <c r="P28" s="1" t="s">
        <v>662</v>
      </c>
      <c r="Q28" s="1" t="s">
        <v>663</v>
      </c>
      <c r="R28" s="1" t="s">
        <v>649</v>
      </c>
      <c r="S28" s="1" t="s">
        <v>650</v>
      </c>
      <c r="T28" s="1" t="s">
        <v>1678</v>
      </c>
      <c r="U28" s="1" t="s">
        <v>664</v>
      </c>
      <c r="V28" s="1" t="s">
        <v>665</v>
      </c>
      <c r="W28" s="1" t="s">
        <v>1815</v>
      </c>
    </row>
    <row r="29" spans="2:23" ht="12.75" customHeight="1" x14ac:dyDescent="0.2">
      <c r="B29" s="78" t="s">
        <v>666</v>
      </c>
      <c r="C29" s="498" t="s">
        <v>627</v>
      </c>
      <c r="D29" s="498" t="s">
        <v>667</v>
      </c>
      <c r="E29" s="79" t="s">
        <v>668</v>
      </c>
      <c r="F29" s="80" t="s">
        <v>669</v>
      </c>
      <c r="G29" s="80" t="s">
        <v>1679</v>
      </c>
      <c r="H29" s="80" t="s">
        <v>597</v>
      </c>
      <c r="I29" s="80" t="s">
        <v>631</v>
      </c>
      <c r="J29" s="504" t="s">
        <v>1816</v>
      </c>
      <c r="N29" s="501"/>
      <c r="O29" s="1" t="s">
        <v>666</v>
      </c>
      <c r="P29" s="1" t="s">
        <v>627</v>
      </c>
      <c r="Q29" s="1" t="s">
        <v>667</v>
      </c>
      <c r="R29" s="1" t="s">
        <v>668</v>
      </c>
      <c r="S29" s="1" t="s">
        <v>669</v>
      </c>
      <c r="T29" s="1" t="s">
        <v>1679</v>
      </c>
      <c r="U29" s="1" t="s">
        <v>597</v>
      </c>
      <c r="V29" s="1" t="s">
        <v>631</v>
      </c>
      <c r="W29" s="1" t="s">
        <v>1816</v>
      </c>
    </row>
    <row r="30" spans="2:23" ht="12.75" customHeight="1" x14ac:dyDescent="0.2">
      <c r="B30" s="75" t="s">
        <v>670</v>
      </c>
      <c r="C30" s="81"/>
      <c r="D30" s="81"/>
      <c r="E30" s="81"/>
      <c r="F30" s="81"/>
      <c r="G30" s="81"/>
      <c r="H30" s="81"/>
      <c r="I30" s="81"/>
      <c r="J30" s="506"/>
      <c r="N30" s="501"/>
      <c r="O30" s="1" t="s">
        <v>671</v>
      </c>
      <c r="P30" s="1" t="s">
        <v>672</v>
      </c>
      <c r="Q30" s="1" t="s">
        <v>658</v>
      </c>
      <c r="R30" s="1" t="s">
        <v>673</v>
      </c>
      <c r="S30" s="1" t="s">
        <v>644</v>
      </c>
      <c r="T30" s="1" t="s">
        <v>1655</v>
      </c>
      <c r="U30" s="1" t="s">
        <v>674</v>
      </c>
      <c r="V30" s="1" t="s">
        <v>675</v>
      </c>
      <c r="W30" s="1" t="s">
        <v>1817</v>
      </c>
    </row>
    <row r="31" spans="2:23" ht="12.75" customHeight="1" x14ac:dyDescent="0.2">
      <c r="B31" s="78" t="s">
        <v>671</v>
      </c>
      <c r="C31" s="498" t="s">
        <v>672</v>
      </c>
      <c r="D31" s="498" t="s">
        <v>658</v>
      </c>
      <c r="E31" s="79" t="s">
        <v>673</v>
      </c>
      <c r="F31" s="80" t="s">
        <v>644</v>
      </c>
      <c r="G31" s="80" t="s">
        <v>1655</v>
      </c>
      <c r="H31" s="80" t="s">
        <v>674</v>
      </c>
      <c r="I31" s="80" t="s">
        <v>675</v>
      </c>
      <c r="J31" s="505" t="s">
        <v>1817</v>
      </c>
      <c r="N31" s="501"/>
      <c r="O31" s="1" t="s">
        <v>670</v>
      </c>
    </row>
    <row r="32" spans="2:23" ht="12.75" customHeight="1" x14ac:dyDescent="0.2">
      <c r="B32" s="78" t="s">
        <v>676</v>
      </c>
      <c r="C32" s="498" t="s">
        <v>677</v>
      </c>
      <c r="D32" s="498" t="s">
        <v>591</v>
      </c>
      <c r="E32" s="79" t="s">
        <v>678</v>
      </c>
      <c r="F32" s="80" t="s">
        <v>679</v>
      </c>
      <c r="G32" s="80" t="s">
        <v>1680</v>
      </c>
      <c r="H32" s="80" t="s">
        <v>1681</v>
      </c>
      <c r="I32" s="80" t="s">
        <v>575</v>
      </c>
      <c r="J32" s="505" t="s">
        <v>1818</v>
      </c>
      <c r="N32" s="501"/>
      <c r="O32" s="1" t="s">
        <v>676</v>
      </c>
      <c r="P32" s="1" t="s">
        <v>677</v>
      </c>
      <c r="Q32" s="1" t="s">
        <v>591</v>
      </c>
      <c r="R32" s="1" t="s">
        <v>678</v>
      </c>
      <c r="S32" s="1" t="s">
        <v>679</v>
      </c>
      <c r="T32" s="1" t="s">
        <v>1680</v>
      </c>
      <c r="U32" s="1" t="s">
        <v>1681</v>
      </c>
      <c r="V32" s="1" t="s">
        <v>575</v>
      </c>
      <c r="W32" s="1" t="s">
        <v>1818</v>
      </c>
    </row>
    <row r="33" spans="2:23" ht="12.75" customHeight="1" x14ac:dyDescent="0.2">
      <c r="B33" s="75" t="s">
        <v>684</v>
      </c>
      <c r="C33" s="81"/>
      <c r="D33" s="81"/>
      <c r="E33" s="81"/>
      <c r="F33" s="81"/>
      <c r="G33" s="81"/>
      <c r="H33" s="81"/>
      <c r="I33" s="81"/>
      <c r="J33" s="506"/>
      <c r="O33" s="1" t="s">
        <v>685</v>
      </c>
      <c r="P33" s="1" t="s">
        <v>647</v>
      </c>
      <c r="Q33" s="1" t="s">
        <v>686</v>
      </c>
      <c r="R33" s="1" t="s">
        <v>687</v>
      </c>
      <c r="S33" s="1" t="s">
        <v>688</v>
      </c>
      <c r="T33" s="1" t="s">
        <v>1682</v>
      </c>
      <c r="U33" s="1" t="s">
        <v>1683</v>
      </c>
      <c r="V33" s="1" t="s">
        <v>631</v>
      </c>
      <c r="W33" s="1" t="s">
        <v>1819</v>
      </c>
    </row>
    <row r="34" spans="2:23" ht="12.75" customHeight="1" x14ac:dyDescent="0.2">
      <c r="B34" s="78" t="s">
        <v>685</v>
      </c>
      <c r="C34" s="498" t="s">
        <v>647</v>
      </c>
      <c r="D34" s="498" t="s">
        <v>686</v>
      </c>
      <c r="E34" s="79" t="s">
        <v>687</v>
      </c>
      <c r="F34" s="80" t="s">
        <v>688</v>
      </c>
      <c r="G34" s="80" t="s">
        <v>1682</v>
      </c>
      <c r="H34" s="80" t="s">
        <v>1683</v>
      </c>
      <c r="I34" s="80" t="s">
        <v>631</v>
      </c>
      <c r="J34" s="504" t="s">
        <v>1819</v>
      </c>
      <c r="O34" s="1" t="s">
        <v>689</v>
      </c>
      <c r="P34" s="1" t="s">
        <v>690</v>
      </c>
      <c r="Q34" s="1" t="s">
        <v>686</v>
      </c>
      <c r="R34" s="1" t="s">
        <v>691</v>
      </c>
      <c r="S34" s="1" t="s">
        <v>602</v>
      </c>
      <c r="T34" s="1" t="s">
        <v>1684</v>
      </c>
      <c r="U34" s="1" t="s">
        <v>1685</v>
      </c>
      <c r="V34" s="1" t="s">
        <v>665</v>
      </c>
      <c r="W34" s="1" t="s">
        <v>1820</v>
      </c>
    </row>
    <row r="35" spans="2:23" ht="12.75" customHeight="1" x14ac:dyDescent="0.2">
      <c r="B35" s="78" t="s">
        <v>689</v>
      </c>
      <c r="C35" s="498" t="s">
        <v>690</v>
      </c>
      <c r="D35" s="498" t="s">
        <v>686</v>
      </c>
      <c r="E35" s="79" t="s">
        <v>691</v>
      </c>
      <c r="F35" s="80" t="s">
        <v>602</v>
      </c>
      <c r="G35" s="80" t="s">
        <v>1684</v>
      </c>
      <c r="H35" s="80" t="s">
        <v>1685</v>
      </c>
      <c r="I35" s="80" t="s">
        <v>665</v>
      </c>
      <c r="J35" s="504" t="s">
        <v>1820</v>
      </c>
      <c r="O35" s="1" t="s">
        <v>684</v>
      </c>
    </row>
    <row r="36" spans="2:23" ht="12.75" customHeight="1" x14ac:dyDescent="0.2">
      <c r="B36" s="75" t="s">
        <v>693</v>
      </c>
      <c r="C36" s="81"/>
      <c r="D36" s="81"/>
      <c r="E36" s="81"/>
      <c r="F36" s="81"/>
      <c r="G36" s="81"/>
      <c r="H36" s="81"/>
      <c r="I36" s="81"/>
      <c r="J36" s="506"/>
      <c r="O36" s="1" t="s">
        <v>694</v>
      </c>
      <c r="P36" s="1" t="s">
        <v>695</v>
      </c>
      <c r="Q36" s="1" t="s">
        <v>696</v>
      </c>
      <c r="R36" s="1" t="s">
        <v>697</v>
      </c>
      <c r="S36" s="1" t="s">
        <v>698</v>
      </c>
      <c r="T36" s="1" t="s">
        <v>1686</v>
      </c>
      <c r="U36" s="1" t="s">
        <v>699</v>
      </c>
      <c r="V36" s="1" t="s">
        <v>582</v>
      </c>
      <c r="W36" s="1" t="s">
        <v>1821</v>
      </c>
    </row>
    <row r="37" spans="2:23" ht="12.75" customHeight="1" x14ac:dyDescent="0.2">
      <c r="B37" s="78" t="s">
        <v>694</v>
      </c>
      <c r="C37" s="498" t="s">
        <v>695</v>
      </c>
      <c r="D37" s="498" t="s">
        <v>696</v>
      </c>
      <c r="E37" s="79" t="s">
        <v>697</v>
      </c>
      <c r="F37" s="80" t="s">
        <v>698</v>
      </c>
      <c r="G37" s="80" t="s">
        <v>1686</v>
      </c>
      <c r="H37" s="80" t="s">
        <v>699</v>
      </c>
      <c r="I37" s="80" t="s">
        <v>582</v>
      </c>
      <c r="J37" s="504" t="s">
        <v>1821</v>
      </c>
      <c r="O37" s="1" t="s">
        <v>700</v>
      </c>
      <c r="P37" s="1" t="s">
        <v>701</v>
      </c>
      <c r="Q37" s="1" t="s">
        <v>702</v>
      </c>
      <c r="R37" s="1" t="s">
        <v>703</v>
      </c>
      <c r="S37" s="1" t="s">
        <v>704</v>
      </c>
      <c r="T37" s="1" t="s">
        <v>1687</v>
      </c>
      <c r="U37" s="1" t="s">
        <v>692</v>
      </c>
      <c r="V37" s="1" t="s">
        <v>705</v>
      </c>
      <c r="W37" s="1" t="s">
        <v>1822</v>
      </c>
    </row>
    <row r="38" spans="2:23" ht="12.75" customHeight="1" x14ac:dyDescent="0.2">
      <c r="B38" s="78" t="s">
        <v>700</v>
      </c>
      <c r="C38" s="498" t="s">
        <v>701</v>
      </c>
      <c r="D38" s="498" t="s">
        <v>702</v>
      </c>
      <c r="E38" s="79" t="s">
        <v>703</v>
      </c>
      <c r="F38" s="80" t="s">
        <v>704</v>
      </c>
      <c r="G38" s="80" t="s">
        <v>1687</v>
      </c>
      <c r="H38" s="80" t="s">
        <v>692</v>
      </c>
      <c r="I38" s="80" t="s">
        <v>705</v>
      </c>
      <c r="J38" s="504" t="s">
        <v>1822</v>
      </c>
      <c r="O38" s="1" t="s">
        <v>706</v>
      </c>
      <c r="P38" s="1" t="s">
        <v>707</v>
      </c>
      <c r="Q38" s="1" t="s">
        <v>696</v>
      </c>
      <c r="R38" s="1" t="s">
        <v>708</v>
      </c>
      <c r="S38" s="1" t="s">
        <v>709</v>
      </c>
      <c r="T38" s="1" t="s">
        <v>1665</v>
      </c>
      <c r="U38" s="1" t="s">
        <v>692</v>
      </c>
      <c r="V38" s="1" t="s">
        <v>710</v>
      </c>
      <c r="W38" s="1" t="s">
        <v>1823</v>
      </c>
    </row>
    <row r="39" spans="2:23" ht="12.75" customHeight="1" x14ac:dyDescent="0.2">
      <c r="B39" s="78" t="s">
        <v>706</v>
      </c>
      <c r="C39" s="498" t="s">
        <v>707</v>
      </c>
      <c r="D39" s="498" t="s">
        <v>696</v>
      </c>
      <c r="E39" s="79" t="s">
        <v>708</v>
      </c>
      <c r="F39" s="80" t="s">
        <v>709</v>
      </c>
      <c r="G39" s="80" t="s">
        <v>1665</v>
      </c>
      <c r="H39" s="80" t="s">
        <v>692</v>
      </c>
      <c r="I39" s="80" t="s">
        <v>710</v>
      </c>
      <c r="J39" s="505" t="s">
        <v>1823</v>
      </c>
      <c r="O39" s="1" t="s">
        <v>693</v>
      </c>
    </row>
    <row r="40" spans="2:23" ht="12.75" customHeight="1" x14ac:dyDescent="0.2">
      <c r="B40" s="75" t="s">
        <v>711</v>
      </c>
      <c r="C40" s="81"/>
      <c r="D40" s="81"/>
      <c r="E40" s="81"/>
      <c r="F40" s="81"/>
      <c r="G40" s="81"/>
      <c r="H40" s="81"/>
      <c r="I40" s="81"/>
      <c r="J40" s="506"/>
      <c r="O40" s="1" t="s">
        <v>712</v>
      </c>
      <c r="P40" s="1" t="s">
        <v>1688</v>
      </c>
      <c r="Q40" s="1" t="s">
        <v>591</v>
      </c>
      <c r="R40" s="1" t="s">
        <v>713</v>
      </c>
      <c r="S40" s="1" t="s">
        <v>714</v>
      </c>
      <c r="T40" s="1" t="s">
        <v>1689</v>
      </c>
      <c r="U40" s="1" t="s">
        <v>589</v>
      </c>
      <c r="V40" s="1" t="s">
        <v>715</v>
      </c>
      <c r="W40" s="1" t="s">
        <v>1824</v>
      </c>
    </row>
    <row r="41" spans="2:23" ht="12.75" customHeight="1" x14ac:dyDescent="0.2">
      <c r="B41" s="78" t="s">
        <v>712</v>
      </c>
      <c r="C41" s="498" t="s">
        <v>1688</v>
      </c>
      <c r="D41" s="498" t="s">
        <v>591</v>
      </c>
      <c r="E41" s="79" t="s">
        <v>713</v>
      </c>
      <c r="F41" s="80" t="s">
        <v>714</v>
      </c>
      <c r="G41" s="80" t="s">
        <v>1689</v>
      </c>
      <c r="H41" s="80" t="s">
        <v>589</v>
      </c>
      <c r="I41" s="80" t="s">
        <v>715</v>
      </c>
      <c r="J41" s="505" t="s">
        <v>1824</v>
      </c>
      <c r="O41" s="1" t="s">
        <v>716</v>
      </c>
      <c r="P41" s="1" t="s">
        <v>1690</v>
      </c>
      <c r="Q41" s="1" t="s">
        <v>591</v>
      </c>
      <c r="R41" s="1" t="s">
        <v>713</v>
      </c>
      <c r="S41" s="1" t="s">
        <v>584</v>
      </c>
      <c r="T41" s="1" t="s">
        <v>1691</v>
      </c>
      <c r="U41" s="1" t="s">
        <v>717</v>
      </c>
      <c r="V41" s="1" t="s">
        <v>715</v>
      </c>
      <c r="W41" s="1" t="s">
        <v>1825</v>
      </c>
    </row>
    <row r="42" spans="2:23" ht="12.75" customHeight="1" x14ac:dyDescent="0.2">
      <c r="B42" s="78" t="s">
        <v>716</v>
      </c>
      <c r="C42" s="498" t="s">
        <v>1690</v>
      </c>
      <c r="D42" s="498" t="s">
        <v>591</v>
      </c>
      <c r="E42" s="79" t="s">
        <v>713</v>
      </c>
      <c r="F42" s="80" t="s">
        <v>584</v>
      </c>
      <c r="G42" s="80" t="s">
        <v>1691</v>
      </c>
      <c r="H42" s="80" t="s">
        <v>717</v>
      </c>
      <c r="I42" s="80" t="s">
        <v>715</v>
      </c>
      <c r="J42" s="505" t="s">
        <v>1825</v>
      </c>
      <c r="O42" s="1" t="s">
        <v>718</v>
      </c>
      <c r="P42" s="1" t="s">
        <v>719</v>
      </c>
      <c r="Q42" s="1" t="s">
        <v>720</v>
      </c>
      <c r="R42" s="1" t="s">
        <v>721</v>
      </c>
      <c r="S42" s="1" t="s">
        <v>580</v>
      </c>
      <c r="T42" s="1" t="s">
        <v>1692</v>
      </c>
      <c r="U42" s="1" t="s">
        <v>699</v>
      </c>
      <c r="V42" s="1" t="s">
        <v>722</v>
      </c>
      <c r="W42" s="1" t="s">
        <v>1826</v>
      </c>
    </row>
    <row r="43" spans="2:23" ht="12.75" customHeight="1" x14ac:dyDescent="0.2">
      <c r="B43" s="78" t="s">
        <v>718</v>
      </c>
      <c r="C43" s="498" t="s">
        <v>719</v>
      </c>
      <c r="D43" s="498" t="s">
        <v>720</v>
      </c>
      <c r="E43" s="79" t="s">
        <v>721</v>
      </c>
      <c r="F43" s="80" t="s">
        <v>580</v>
      </c>
      <c r="G43" s="80" t="s">
        <v>1692</v>
      </c>
      <c r="H43" s="80" t="s">
        <v>699</v>
      </c>
      <c r="I43" s="80" t="s">
        <v>722</v>
      </c>
      <c r="J43" s="505" t="s">
        <v>1826</v>
      </c>
      <c r="O43" s="1" t="s">
        <v>711</v>
      </c>
    </row>
    <row r="44" spans="2:23" ht="12.75" customHeight="1" x14ac:dyDescent="0.2">
      <c r="B44" s="75" t="s">
        <v>723</v>
      </c>
      <c r="C44" s="81"/>
      <c r="D44" s="81"/>
      <c r="E44" s="81"/>
      <c r="F44" s="81"/>
      <c r="G44" s="81"/>
      <c r="H44" s="81"/>
      <c r="I44" s="81"/>
      <c r="J44" s="506"/>
      <c r="O44" s="1" t="s">
        <v>724</v>
      </c>
      <c r="P44" s="1" t="s">
        <v>725</v>
      </c>
      <c r="Q44" s="1" t="s">
        <v>642</v>
      </c>
      <c r="R44" s="1" t="s">
        <v>726</v>
      </c>
      <c r="S44" s="1" t="s">
        <v>704</v>
      </c>
      <c r="T44" s="1" t="s">
        <v>1693</v>
      </c>
      <c r="U44" s="1" t="s">
        <v>727</v>
      </c>
      <c r="V44" s="1" t="s">
        <v>728</v>
      </c>
      <c r="W44" s="1" t="s">
        <v>1827</v>
      </c>
    </row>
    <row r="45" spans="2:23" ht="12.75" customHeight="1" x14ac:dyDescent="0.2">
      <c r="B45" s="78" t="s">
        <v>724</v>
      </c>
      <c r="C45" s="498" t="s">
        <v>725</v>
      </c>
      <c r="D45" s="498" t="s">
        <v>642</v>
      </c>
      <c r="E45" s="79" t="s">
        <v>726</v>
      </c>
      <c r="F45" s="80" t="s">
        <v>704</v>
      </c>
      <c r="G45" s="80" t="s">
        <v>1693</v>
      </c>
      <c r="H45" s="80" t="s">
        <v>727</v>
      </c>
      <c r="I45" s="80" t="s">
        <v>728</v>
      </c>
      <c r="J45" s="505" t="s">
        <v>1827</v>
      </c>
      <c r="O45" s="1" t="s">
        <v>729</v>
      </c>
      <c r="P45" s="1" t="s">
        <v>730</v>
      </c>
      <c r="Q45" s="1" t="s">
        <v>587</v>
      </c>
      <c r="R45" s="1" t="s">
        <v>731</v>
      </c>
      <c r="S45" s="1" t="s">
        <v>682</v>
      </c>
      <c r="T45" s="1" t="s">
        <v>1694</v>
      </c>
      <c r="U45" s="1" t="s">
        <v>732</v>
      </c>
      <c r="V45" s="1" t="s">
        <v>728</v>
      </c>
      <c r="W45" s="1" t="s">
        <v>1828</v>
      </c>
    </row>
    <row r="46" spans="2:23" ht="12.75" customHeight="1" x14ac:dyDescent="0.2">
      <c r="B46" s="78" t="s">
        <v>729</v>
      </c>
      <c r="C46" s="498" t="s">
        <v>730</v>
      </c>
      <c r="D46" s="498" t="s">
        <v>587</v>
      </c>
      <c r="E46" s="79" t="s">
        <v>731</v>
      </c>
      <c r="F46" s="80" t="s">
        <v>682</v>
      </c>
      <c r="G46" s="80" t="s">
        <v>1694</v>
      </c>
      <c r="H46" s="80" t="s">
        <v>732</v>
      </c>
      <c r="I46" s="80" t="s">
        <v>728</v>
      </c>
      <c r="J46" s="505" t="s">
        <v>1828</v>
      </c>
      <c r="O46" s="1" t="s">
        <v>723</v>
      </c>
    </row>
    <row r="47" spans="2:23" ht="12.75" customHeight="1" x14ac:dyDescent="0.2">
      <c r="B47" s="78" t="s">
        <v>733</v>
      </c>
      <c r="C47" s="498" t="s">
        <v>734</v>
      </c>
      <c r="D47" s="498" t="s">
        <v>686</v>
      </c>
      <c r="E47" s="79" t="s">
        <v>735</v>
      </c>
      <c r="F47" s="80" t="s">
        <v>736</v>
      </c>
      <c r="G47" s="80" t="s">
        <v>1694</v>
      </c>
      <c r="H47" s="80" t="s">
        <v>737</v>
      </c>
      <c r="I47" s="80" t="s">
        <v>728</v>
      </c>
      <c r="J47" s="504" t="s">
        <v>1829</v>
      </c>
      <c r="O47" s="1" t="s">
        <v>733</v>
      </c>
      <c r="P47" s="1" t="s">
        <v>734</v>
      </c>
      <c r="Q47" s="1" t="s">
        <v>686</v>
      </c>
      <c r="R47" s="1" t="s">
        <v>735</v>
      </c>
      <c r="S47" s="1" t="s">
        <v>736</v>
      </c>
      <c r="T47" s="1" t="s">
        <v>1694</v>
      </c>
      <c r="U47" s="1" t="s">
        <v>737</v>
      </c>
      <c r="V47" s="1" t="s">
        <v>728</v>
      </c>
      <c r="W47" s="1" t="s">
        <v>1829</v>
      </c>
    </row>
    <row r="48" spans="2:23" ht="12.75" customHeight="1" x14ac:dyDescent="0.2">
      <c r="B48" s="75" t="s">
        <v>738</v>
      </c>
      <c r="C48" s="81"/>
      <c r="D48" s="81"/>
      <c r="E48" s="81"/>
      <c r="F48" s="81"/>
      <c r="G48" s="81"/>
      <c r="H48" s="81"/>
      <c r="I48" s="81"/>
      <c r="J48" s="506"/>
      <c r="O48" s="1" t="s">
        <v>739</v>
      </c>
      <c r="P48" s="1" t="s">
        <v>740</v>
      </c>
      <c r="Q48" s="1" t="s">
        <v>571</v>
      </c>
      <c r="R48" s="1" t="s">
        <v>741</v>
      </c>
      <c r="S48" s="1" t="s">
        <v>742</v>
      </c>
      <c r="T48" s="1" t="s">
        <v>1695</v>
      </c>
      <c r="U48" s="1" t="s">
        <v>638</v>
      </c>
      <c r="V48" s="1" t="s">
        <v>728</v>
      </c>
      <c r="W48" s="1" t="s">
        <v>1830</v>
      </c>
    </row>
    <row r="49" spans="2:23" ht="12.75" customHeight="1" x14ac:dyDescent="0.2">
      <c r="B49" s="78" t="s">
        <v>739</v>
      </c>
      <c r="C49" s="498" t="s">
        <v>740</v>
      </c>
      <c r="D49" s="498" t="s">
        <v>571</v>
      </c>
      <c r="E49" s="79" t="s">
        <v>741</v>
      </c>
      <c r="F49" s="80" t="s">
        <v>742</v>
      </c>
      <c r="G49" s="80" t="s">
        <v>1695</v>
      </c>
      <c r="H49" s="80" t="s">
        <v>638</v>
      </c>
      <c r="I49" s="80" t="s">
        <v>728</v>
      </c>
      <c r="J49" s="505" t="s">
        <v>1830</v>
      </c>
      <c r="O49" s="1" t="s">
        <v>743</v>
      </c>
      <c r="P49" s="1" t="s">
        <v>744</v>
      </c>
      <c r="Q49" s="1" t="s">
        <v>745</v>
      </c>
      <c r="R49" s="1" t="s">
        <v>746</v>
      </c>
      <c r="S49" s="1" t="s">
        <v>602</v>
      </c>
      <c r="T49" s="1" t="s">
        <v>1696</v>
      </c>
      <c r="U49" s="1" t="s">
        <v>625</v>
      </c>
      <c r="V49" s="1" t="s">
        <v>715</v>
      </c>
      <c r="W49" s="1" t="s">
        <v>1831</v>
      </c>
    </row>
    <row r="50" spans="2:23" ht="12.75" customHeight="1" x14ac:dyDescent="0.2">
      <c r="B50" s="78" t="s">
        <v>743</v>
      </c>
      <c r="C50" s="498" t="s">
        <v>744</v>
      </c>
      <c r="D50" s="498" t="s">
        <v>745</v>
      </c>
      <c r="E50" s="79" t="s">
        <v>746</v>
      </c>
      <c r="F50" s="80" t="s">
        <v>602</v>
      </c>
      <c r="G50" s="80" t="s">
        <v>1696</v>
      </c>
      <c r="H50" s="80" t="s">
        <v>625</v>
      </c>
      <c r="I50" s="80" t="s">
        <v>715</v>
      </c>
      <c r="J50" s="504" t="s">
        <v>1831</v>
      </c>
      <c r="O50" s="1" t="s">
        <v>747</v>
      </c>
      <c r="P50" s="1" t="s">
        <v>843</v>
      </c>
      <c r="Q50" s="1" t="s">
        <v>648</v>
      </c>
      <c r="R50" s="1" t="s">
        <v>750</v>
      </c>
      <c r="S50" s="1" t="s">
        <v>751</v>
      </c>
      <c r="T50" s="1" t="s">
        <v>1697</v>
      </c>
      <c r="U50" s="1" t="s">
        <v>752</v>
      </c>
      <c r="V50" s="1" t="s">
        <v>753</v>
      </c>
      <c r="W50" s="1" t="s">
        <v>1832</v>
      </c>
    </row>
    <row r="51" spans="2:23" ht="12.75" customHeight="1" x14ac:dyDescent="0.2">
      <c r="B51" s="78" t="s">
        <v>747</v>
      </c>
      <c r="C51" s="498" t="s">
        <v>843</v>
      </c>
      <c r="D51" s="498" t="s">
        <v>648</v>
      </c>
      <c r="E51" s="79" t="s">
        <v>750</v>
      </c>
      <c r="F51" s="80" t="s">
        <v>751</v>
      </c>
      <c r="G51" s="80" t="s">
        <v>1697</v>
      </c>
      <c r="H51" s="80" t="s">
        <v>752</v>
      </c>
      <c r="I51" s="80" t="s">
        <v>753</v>
      </c>
      <c r="J51" s="505" t="s">
        <v>1832</v>
      </c>
      <c r="O51" s="1" t="s">
        <v>738</v>
      </c>
    </row>
    <row r="52" spans="2:23" ht="12.75" customHeight="1" x14ac:dyDescent="0.2">
      <c r="B52" s="75" t="s">
        <v>754</v>
      </c>
      <c r="C52" s="81"/>
      <c r="D52" s="81"/>
      <c r="E52" s="81"/>
      <c r="F52" s="81"/>
      <c r="G52" s="81"/>
      <c r="H52" s="81"/>
      <c r="I52" s="81"/>
      <c r="J52" s="506"/>
      <c r="O52" s="1" t="s">
        <v>755</v>
      </c>
      <c r="P52" s="1" t="s">
        <v>756</v>
      </c>
      <c r="Q52" s="1" t="s">
        <v>578</v>
      </c>
      <c r="R52" s="1" t="s">
        <v>757</v>
      </c>
      <c r="S52" s="1" t="s">
        <v>758</v>
      </c>
      <c r="T52" s="1" t="s">
        <v>1698</v>
      </c>
      <c r="U52" s="1" t="s">
        <v>816</v>
      </c>
      <c r="V52" s="1" t="s">
        <v>759</v>
      </c>
      <c r="W52" s="1" t="s">
        <v>1833</v>
      </c>
    </row>
    <row r="53" spans="2:23" ht="12.75" customHeight="1" x14ac:dyDescent="0.2">
      <c r="B53" s="78" t="s">
        <v>755</v>
      </c>
      <c r="C53" s="498" t="s">
        <v>756</v>
      </c>
      <c r="D53" s="498" t="s">
        <v>578</v>
      </c>
      <c r="E53" s="79" t="s">
        <v>757</v>
      </c>
      <c r="F53" s="80" t="s">
        <v>758</v>
      </c>
      <c r="G53" s="80" t="s">
        <v>1698</v>
      </c>
      <c r="H53" s="80" t="s">
        <v>816</v>
      </c>
      <c r="I53" s="80" t="s">
        <v>759</v>
      </c>
      <c r="J53" s="504" t="s">
        <v>1833</v>
      </c>
      <c r="O53" s="1" t="s">
        <v>760</v>
      </c>
      <c r="P53" s="1" t="s">
        <v>761</v>
      </c>
      <c r="Q53" s="1" t="s">
        <v>578</v>
      </c>
      <c r="R53" s="1" t="s">
        <v>795</v>
      </c>
      <c r="S53" s="1" t="s">
        <v>650</v>
      </c>
      <c r="T53" s="1" t="s">
        <v>1699</v>
      </c>
      <c r="U53" s="1" t="s">
        <v>664</v>
      </c>
      <c r="V53" s="1" t="s">
        <v>753</v>
      </c>
      <c r="W53" s="1" t="s">
        <v>1834</v>
      </c>
    </row>
    <row r="54" spans="2:23" ht="12.75" customHeight="1" x14ac:dyDescent="0.2">
      <c r="B54" s="78" t="s">
        <v>760</v>
      </c>
      <c r="C54" s="498" t="s">
        <v>761</v>
      </c>
      <c r="D54" s="498" t="s">
        <v>578</v>
      </c>
      <c r="E54" s="79" t="s">
        <v>795</v>
      </c>
      <c r="F54" s="80" t="s">
        <v>650</v>
      </c>
      <c r="G54" s="80" t="s">
        <v>1699</v>
      </c>
      <c r="H54" s="80" t="s">
        <v>664</v>
      </c>
      <c r="I54" s="80" t="s">
        <v>753</v>
      </c>
      <c r="J54" s="504" t="s">
        <v>1834</v>
      </c>
      <c r="O54" s="1" t="s">
        <v>754</v>
      </c>
    </row>
    <row r="55" spans="2:23" ht="12.75" customHeight="1" x14ac:dyDescent="0.2">
      <c r="B55" s="78" t="s">
        <v>762</v>
      </c>
      <c r="C55" s="498" t="s">
        <v>761</v>
      </c>
      <c r="D55" s="498" t="s">
        <v>591</v>
      </c>
      <c r="E55" s="79" t="s">
        <v>763</v>
      </c>
      <c r="F55" s="80" t="s">
        <v>764</v>
      </c>
      <c r="G55" s="80" t="s">
        <v>1700</v>
      </c>
      <c r="H55" s="80" t="s">
        <v>650</v>
      </c>
      <c r="I55" s="80" t="s">
        <v>710</v>
      </c>
      <c r="J55" s="505" t="s">
        <v>1835</v>
      </c>
      <c r="O55" s="1" t="s">
        <v>762</v>
      </c>
      <c r="P55" s="1" t="s">
        <v>761</v>
      </c>
      <c r="Q55" s="1" t="s">
        <v>591</v>
      </c>
      <c r="R55" s="1" t="s">
        <v>763</v>
      </c>
      <c r="S55" s="1" t="s">
        <v>764</v>
      </c>
      <c r="T55" s="1" t="s">
        <v>1700</v>
      </c>
      <c r="U55" s="1" t="s">
        <v>650</v>
      </c>
      <c r="V55" s="1" t="s">
        <v>710</v>
      </c>
      <c r="W55" s="1" t="s">
        <v>1835</v>
      </c>
    </row>
    <row r="56" spans="2:23" ht="12.75" customHeight="1" x14ac:dyDescent="0.2">
      <c r="B56" s="75" t="s">
        <v>765</v>
      </c>
      <c r="C56" s="81"/>
      <c r="D56" s="81"/>
      <c r="E56" s="81"/>
      <c r="F56" s="81"/>
      <c r="G56" s="81"/>
      <c r="H56" s="81"/>
      <c r="I56" s="81"/>
      <c r="J56" s="506"/>
      <c r="O56" s="1" t="s">
        <v>766</v>
      </c>
      <c r="P56" s="1" t="s">
        <v>767</v>
      </c>
      <c r="Q56" s="1" t="s">
        <v>768</v>
      </c>
      <c r="R56" s="1" t="s">
        <v>967</v>
      </c>
      <c r="S56" s="1" t="s">
        <v>769</v>
      </c>
      <c r="T56" s="1" t="s">
        <v>1701</v>
      </c>
      <c r="U56" s="1" t="s">
        <v>1702</v>
      </c>
      <c r="V56" s="1" t="s">
        <v>728</v>
      </c>
      <c r="W56" s="1" t="s">
        <v>1836</v>
      </c>
    </row>
    <row r="57" spans="2:23" ht="12.75" customHeight="1" x14ac:dyDescent="0.2">
      <c r="B57" s="78" t="s">
        <v>766</v>
      </c>
      <c r="C57" s="498" t="s">
        <v>767</v>
      </c>
      <c r="D57" s="498" t="s">
        <v>768</v>
      </c>
      <c r="E57" s="79" t="s">
        <v>967</v>
      </c>
      <c r="F57" s="80" t="s">
        <v>769</v>
      </c>
      <c r="G57" s="80" t="s">
        <v>1701</v>
      </c>
      <c r="H57" s="80" t="s">
        <v>1702</v>
      </c>
      <c r="I57" s="80" t="s">
        <v>728</v>
      </c>
      <c r="J57" s="505" t="s">
        <v>1836</v>
      </c>
      <c r="O57" s="1" t="s">
        <v>771</v>
      </c>
      <c r="P57" s="1" t="s">
        <v>772</v>
      </c>
      <c r="Q57" s="1" t="s">
        <v>648</v>
      </c>
      <c r="R57" s="1" t="s">
        <v>1703</v>
      </c>
      <c r="S57" s="1" t="s">
        <v>769</v>
      </c>
      <c r="T57" s="1" t="s">
        <v>1704</v>
      </c>
      <c r="U57" s="1" t="s">
        <v>1705</v>
      </c>
      <c r="V57" s="1" t="s">
        <v>728</v>
      </c>
      <c r="W57" s="1" t="s">
        <v>1837</v>
      </c>
    </row>
    <row r="58" spans="2:23" ht="12.75" customHeight="1" x14ac:dyDescent="0.2">
      <c r="B58" s="78" t="s">
        <v>771</v>
      </c>
      <c r="C58" s="498" t="s">
        <v>772</v>
      </c>
      <c r="D58" s="498" t="s">
        <v>648</v>
      </c>
      <c r="E58" s="79" t="s">
        <v>1703</v>
      </c>
      <c r="F58" s="80" t="s">
        <v>769</v>
      </c>
      <c r="G58" s="80" t="s">
        <v>1704</v>
      </c>
      <c r="H58" s="80" t="s">
        <v>1705</v>
      </c>
      <c r="I58" s="80" t="s">
        <v>728</v>
      </c>
      <c r="J58" s="505" t="s">
        <v>1837</v>
      </c>
      <c r="O58" s="1" t="s">
        <v>773</v>
      </c>
      <c r="P58" s="1" t="s">
        <v>774</v>
      </c>
      <c r="Q58" s="1" t="s">
        <v>686</v>
      </c>
      <c r="R58" s="1" t="s">
        <v>775</v>
      </c>
      <c r="S58" s="1" t="s">
        <v>580</v>
      </c>
      <c r="T58" s="1" t="s">
        <v>1682</v>
      </c>
      <c r="U58" s="1" t="s">
        <v>1705</v>
      </c>
      <c r="V58" s="1" t="s">
        <v>728</v>
      </c>
      <c r="W58" s="1" t="s">
        <v>1838</v>
      </c>
    </row>
    <row r="59" spans="2:23" ht="12.75" customHeight="1" x14ac:dyDescent="0.2">
      <c r="B59" s="78" t="s">
        <v>773</v>
      </c>
      <c r="C59" s="498" t="s">
        <v>774</v>
      </c>
      <c r="D59" s="498" t="s">
        <v>686</v>
      </c>
      <c r="E59" s="79" t="s">
        <v>775</v>
      </c>
      <c r="F59" s="80" t="s">
        <v>580</v>
      </c>
      <c r="G59" s="80" t="s">
        <v>1682</v>
      </c>
      <c r="H59" s="80" t="s">
        <v>1705</v>
      </c>
      <c r="I59" s="80" t="s">
        <v>728</v>
      </c>
      <c r="J59" s="504" t="s">
        <v>1838</v>
      </c>
      <c r="O59" s="1" t="s">
        <v>765</v>
      </c>
    </row>
    <row r="60" spans="2:23" ht="12.75" customHeight="1" x14ac:dyDescent="0.2">
      <c r="B60" s="75" t="s">
        <v>776</v>
      </c>
      <c r="C60" s="81"/>
      <c r="D60" s="81"/>
      <c r="E60" s="81"/>
      <c r="F60" s="81"/>
      <c r="G60" s="81"/>
      <c r="H60" s="81"/>
      <c r="I60" s="81"/>
      <c r="J60" s="506"/>
      <c r="O60" s="1" t="s">
        <v>777</v>
      </c>
      <c r="P60" s="1" t="s">
        <v>778</v>
      </c>
      <c r="Q60" s="1" t="s">
        <v>658</v>
      </c>
      <c r="R60" s="1" t="s">
        <v>741</v>
      </c>
      <c r="S60" s="1" t="s">
        <v>688</v>
      </c>
      <c r="T60" s="1" t="s">
        <v>1706</v>
      </c>
      <c r="U60" s="1" t="s">
        <v>779</v>
      </c>
      <c r="V60" s="1" t="s">
        <v>728</v>
      </c>
      <c r="W60" s="1" t="s">
        <v>1839</v>
      </c>
    </row>
    <row r="61" spans="2:23" ht="12.75" customHeight="1" x14ac:dyDescent="0.2">
      <c r="B61" s="78" t="s">
        <v>777</v>
      </c>
      <c r="C61" s="498" t="s">
        <v>778</v>
      </c>
      <c r="D61" s="498" t="s">
        <v>658</v>
      </c>
      <c r="E61" s="79" t="s">
        <v>741</v>
      </c>
      <c r="F61" s="80" t="s">
        <v>688</v>
      </c>
      <c r="G61" s="80" t="s">
        <v>1706</v>
      </c>
      <c r="H61" s="80" t="s">
        <v>779</v>
      </c>
      <c r="I61" s="80" t="s">
        <v>728</v>
      </c>
      <c r="J61" s="505" t="s">
        <v>1839</v>
      </c>
      <c r="O61" s="1" t="s">
        <v>780</v>
      </c>
      <c r="P61" s="1" t="s">
        <v>781</v>
      </c>
      <c r="Q61" s="1" t="s">
        <v>642</v>
      </c>
      <c r="R61" s="1" t="s">
        <v>741</v>
      </c>
      <c r="S61" s="1" t="s">
        <v>782</v>
      </c>
      <c r="T61" s="1" t="s">
        <v>1707</v>
      </c>
      <c r="U61" s="1" t="s">
        <v>682</v>
      </c>
      <c r="V61" s="1" t="s">
        <v>783</v>
      </c>
      <c r="W61" s="1" t="s">
        <v>1840</v>
      </c>
    </row>
    <row r="62" spans="2:23" ht="12.75" customHeight="1" x14ac:dyDescent="0.2">
      <c r="B62" s="78" t="s">
        <v>780</v>
      </c>
      <c r="C62" s="498" t="s">
        <v>781</v>
      </c>
      <c r="D62" s="498" t="s">
        <v>642</v>
      </c>
      <c r="E62" s="79" t="s">
        <v>741</v>
      </c>
      <c r="F62" s="80" t="s">
        <v>782</v>
      </c>
      <c r="G62" s="80" t="s">
        <v>1707</v>
      </c>
      <c r="H62" s="80" t="s">
        <v>682</v>
      </c>
      <c r="I62" s="80" t="s">
        <v>783</v>
      </c>
      <c r="J62" s="505" t="s">
        <v>1840</v>
      </c>
      <c r="O62" s="1" t="s">
        <v>784</v>
      </c>
      <c r="P62" s="1" t="s">
        <v>785</v>
      </c>
      <c r="Q62" s="1" t="s">
        <v>658</v>
      </c>
      <c r="R62" s="1" t="s">
        <v>905</v>
      </c>
      <c r="S62" s="1" t="s">
        <v>786</v>
      </c>
      <c r="T62" s="1" t="s">
        <v>1708</v>
      </c>
      <c r="U62" s="1" t="s">
        <v>792</v>
      </c>
      <c r="V62" s="1" t="s">
        <v>787</v>
      </c>
      <c r="W62" s="1" t="s">
        <v>1841</v>
      </c>
    </row>
    <row r="63" spans="2:23" ht="12.75" customHeight="1" x14ac:dyDescent="0.2">
      <c r="B63" s="78" t="s">
        <v>784</v>
      </c>
      <c r="C63" s="498" t="s">
        <v>785</v>
      </c>
      <c r="D63" s="498" t="s">
        <v>658</v>
      </c>
      <c r="E63" s="79" t="s">
        <v>905</v>
      </c>
      <c r="F63" s="80" t="s">
        <v>786</v>
      </c>
      <c r="G63" s="80" t="s">
        <v>1708</v>
      </c>
      <c r="H63" s="80" t="s">
        <v>792</v>
      </c>
      <c r="I63" s="80" t="s">
        <v>787</v>
      </c>
      <c r="J63" s="505" t="s">
        <v>1841</v>
      </c>
      <c r="O63" s="1" t="s">
        <v>776</v>
      </c>
    </row>
    <row r="64" spans="2:23" ht="12.75" customHeight="1" x14ac:dyDescent="0.2">
      <c r="B64" s="75" t="s">
        <v>788</v>
      </c>
      <c r="C64" s="81"/>
      <c r="D64" s="81"/>
      <c r="E64" s="81"/>
      <c r="F64" s="81"/>
      <c r="G64" s="81"/>
      <c r="H64" s="81"/>
      <c r="I64" s="81"/>
      <c r="J64" s="506"/>
      <c r="O64" s="1" t="s">
        <v>789</v>
      </c>
      <c r="P64" s="1" t="s">
        <v>604</v>
      </c>
      <c r="Q64" s="1" t="s">
        <v>790</v>
      </c>
      <c r="R64" s="1" t="s">
        <v>791</v>
      </c>
      <c r="S64" s="1" t="s">
        <v>709</v>
      </c>
      <c r="T64" s="1" t="s">
        <v>1700</v>
      </c>
      <c r="U64" s="1" t="s">
        <v>792</v>
      </c>
      <c r="V64" s="1" t="s">
        <v>787</v>
      </c>
      <c r="W64" s="1" t="s">
        <v>1842</v>
      </c>
    </row>
    <row r="65" spans="2:23" ht="12.75" customHeight="1" x14ac:dyDescent="0.2">
      <c r="B65" s="78" t="s">
        <v>789</v>
      </c>
      <c r="C65" s="498" t="s">
        <v>604</v>
      </c>
      <c r="D65" s="498" t="s">
        <v>790</v>
      </c>
      <c r="E65" s="79" t="s">
        <v>791</v>
      </c>
      <c r="F65" s="80" t="s">
        <v>709</v>
      </c>
      <c r="G65" s="80" t="s">
        <v>1700</v>
      </c>
      <c r="H65" s="80" t="s">
        <v>792</v>
      </c>
      <c r="I65" s="80" t="s">
        <v>787</v>
      </c>
      <c r="J65" s="505" t="s">
        <v>1842</v>
      </c>
      <c r="O65" s="1" t="s">
        <v>793</v>
      </c>
      <c r="P65" s="1" t="s">
        <v>794</v>
      </c>
      <c r="Q65" s="1" t="s">
        <v>749</v>
      </c>
      <c r="R65" s="1" t="s">
        <v>795</v>
      </c>
      <c r="S65" s="1" t="s">
        <v>682</v>
      </c>
      <c r="T65" s="1" t="s">
        <v>1709</v>
      </c>
      <c r="U65" s="1" t="s">
        <v>653</v>
      </c>
      <c r="V65" s="1" t="s">
        <v>787</v>
      </c>
      <c r="W65" s="1" t="s">
        <v>1843</v>
      </c>
    </row>
    <row r="66" spans="2:23" ht="12.75" customHeight="1" x14ac:dyDescent="0.2">
      <c r="B66" s="78" t="s">
        <v>793</v>
      </c>
      <c r="C66" s="498" t="s">
        <v>794</v>
      </c>
      <c r="D66" s="498" t="s">
        <v>749</v>
      </c>
      <c r="E66" s="79" t="s">
        <v>795</v>
      </c>
      <c r="F66" s="80" t="s">
        <v>682</v>
      </c>
      <c r="G66" s="80" t="s">
        <v>1709</v>
      </c>
      <c r="H66" s="80" t="s">
        <v>653</v>
      </c>
      <c r="I66" s="80" t="s">
        <v>787</v>
      </c>
      <c r="J66" s="504" t="s">
        <v>1843</v>
      </c>
      <c r="O66" s="1" t="s">
        <v>796</v>
      </c>
      <c r="P66" s="1" t="s">
        <v>797</v>
      </c>
      <c r="Q66" s="1" t="s">
        <v>749</v>
      </c>
      <c r="R66" s="1" t="s">
        <v>798</v>
      </c>
      <c r="S66" s="1" t="s">
        <v>736</v>
      </c>
      <c r="T66" s="1" t="s">
        <v>1710</v>
      </c>
      <c r="U66" s="1" t="s">
        <v>792</v>
      </c>
      <c r="V66" s="1" t="s">
        <v>787</v>
      </c>
      <c r="W66" s="1" t="s">
        <v>1844</v>
      </c>
    </row>
    <row r="67" spans="2:23" ht="12.75" customHeight="1" x14ac:dyDescent="0.2">
      <c r="B67" s="78" t="s">
        <v>796</v>
      </c>
      <c r="C67" s="498" t="s">
        <v>797</v>
      </c>
      <c r="D67" s="498" t="s">
        <v>749</v>
      </c>
      <c r="E67" s="79" t="s">
        <v>798</v>
      </c>
      <c r="F67" s="80" t="s">
        <v>736</v>
      </c>
      <c r="G67" s="80" t="s">
        <v>1710</v>
      </c>
      <c r="H67" s="80" t="s">
        <v>792</v>
      </c>
      <c r="I67" s="80" t="s">
        <v>787</v>
      </c>
      <c r="J67" s="505" t="s">
        <v>1844</v>
      </c>
      <c r="O67" s="1" t="s">
        <v>799</v>
      </c>
      <c r="P67" s="1" t="s">
        <v>797</v>
      </c>
      <c r="Q67" s="1" t="s">
        <v>749</v>
      </c>
      <c r="R67" s="1" t="s">
        <v>800</v>
      </c>
      <c r="S67" s="1" t="s">
        <v>801</v>
      </c>
      <c r="T67" s="1" t="s">
        <v>1711</v>
      </c>
      <c r="U67" s="1" t="s">
        <v>792</v>
      </c>
      <c r="V67" s="1" t="s">
        <v>582</v>
      </c>
      <c r="W67" s="1" t="s">
        <v>1845</v>
      </c>
    </row>
    <row r="68" spans="2:23" ht="12.75" customHeight="1" x14ac:dyDescent="0.2">
      <c r="B68" s="78" t="s">
        <v>799</v>
      </c>
      <c r="C68" s="498" t="s">
        <v>797</v>
      </c>
      <c r="D68" s="498" t="s">
        <v>749</v>
      </c>
      <c r="E68" s="79" t="s">
        <v>800</v>
      </c>
      <c r="F68" s="80" t="s">
        <v>801</v>
      </c>
      <c r="G68" s="80" t="s">
        <v>1711</v>
      </c>
      <c r="H68" s="80" t="s">
        <v>792</v>
      </c>
      <c r="I68" s="80" t="s">
        <v>582</v>
      </c>
      <c r="J68" s="505" t="s">
        <v>1845</v>
      </c>
      <c r="O68" s="1" t="s">
        <v>788</v>
      </c>
    </row>
    <row r="69" spans="2:23" ht="12.75" customHeight="1" x14ac:dyDescent="0.2">
      <c r="B69" s="75" t="s">
        <v>802</v>
      </c>
      <c r="C69" s="81"/>
      <c r="D69" s="81"/>
      <c r="E69" s="81"/>
      <c r="F69" s="81"/>
      <c r="G69" s="81"/>
      <c r="H69" s="81"/>
      <c r="I69" s="81"/>
      <c r="J69" s="506"/>
      <c r="O69" s="1" t="s">
        <v>803</v>
      </c>
      <c r="P69" s="1" t="s">
        <v>804</v>
      </c>
      <c r="Q69" s="1" t="s">
        <v>720</v>
      </c>
      <c r="R69" s="1" t="s">
        <v>798</v>
      </c>
      <c r="S69" s="1" t="s">
        <v>805</v>
      </c>
      <c r="T69" s="1" t="s">
        <v>1712</v>
      </c>
      <c r="U69" s="1" t="s">
        <v>806</v>
      </c>
      <c r="V69" s="1" t="s">
        <v>753</v>
      </c>
      <c r="W69" s="1" t="s">
        <v>1846</v>
      </c>
    </row>
    <row r="70" spans="2:23" ht="12.75" customHeight="1" x14ac:dyDescent="0.2">
      <c r="B70" s="78" t="s">
        <v>803</v>
      </c>
      <c r="C70" s="498" t="s">
        <v>804</v>
      </c>
      <c r="D70" s="498" t="s">
        <v>720</v>
      </c>
      <c r="E70" s="79" t="s">
        <v>798</v>
      </c>
      <c r="F70" s="80" t="s">
        <v>805</v>
      </c>
      <c r="G70" s="80" t="s">
        <v>1712</v>
      </c>
      <c r="H70" s="80" t="s">
        <v>806</v>
      </c>
      <c r="I70" s="80" t="s">
        <v>753</v>
      </c>
      <c r="J70" s="505" t="s">
        <v>1846</v>
      </c>
      <c r="O70" s="1" t="s">
        <v>807</v>
      </c>
      <c r="P70" s="1" t="s">
        <v>808</v>
      </c>
      <c r="Q70" s="1" t="s">
        <v>720</v>
      </c>
      <c r="R70" s="1" t="s">
        <v>809</v>
      </c>
      <c r="S70" s="1" t="s">
        <v>805</v>
      </c>
      <c r="T70" s="1" t="s">
        <v>1713</v>
      </c>
      <c r="U70" s="1" t="s">
        <v>810</v>
      </c>
      <c r="V70" s="1" t="s">
        <v>753</v>
      </c>
      <c r="W70" s="1" t="s">
        <v>1847</v>
      </c>
    </row>
    <row r="71" spans="2:23" ht="12.75" customHeight="1" x14ac:dyDescent="0.2">
      <c r="B71" s="78" t="s">
        <v>807</v>
      </c>
      <c r="C71" s="498" t="s">
        <v>808</v>
      </c>
      <c r="D71" s="498" t="s">
        <v>720</v>
      </c>
      <c r="E71" s="79" t="s">
        <v>809</v>
      </c>
      <c r="F71" s="80" t="s">
        <v>805</v>
      </c>
      <c r="G71" s="80" t="s">
        <v>1713</v>
      </c>
      <c r="H71" s="80" t="s">
        <v>810</v>
      </c>
      <c r="I71" s="80" t="s">
        <v>753</v>
      </c>
      <c r="J71" s="505" t="s">
        <v>1847</v>
      </c>
      <c r="O71" s="1" t="s">
        <v>811</v>
      </c>
      <c r="P71" s="1" t="s">
        <v>812</v>
      </c>
      <c r="Q71" s="1" t="s">
        <v>813</v>
      </c>
      <c r="R71" s="1" t="s">
        <v>814</v>
      </c>
      <c r="S71" s="1" t="s">
        <v>815</v>
      </c>
      <c r="T71" s="1" t="s">
        <v>1714</v>
      </c>
      <c r="U71" s="1" t="s">
        <v>816</v>
      </c>
      <c r="V71" s="1" t="s">
        <v>753</v>
      </c>
      <c r="W71" s="1" t="s">
        <v>1848</v>
      </c>
    </row>
    <row r="72" spans="2:23" ht="12.75" customHeight="1" x14ac:dyDescent="0.2">
      <c r="B72" s="78" t="s">
        <v>811</v>
      </c>
      <c r="C72" s="498" t="s">
        <v>812</v>
      </c>
      <c r="D72" s="498" t="s">
        <v>813</v>
      </c>
      <c r="E72" s="79" t="s">
        <v>814</v>
      </c>
      <c r="F72" s="80" t="s">
        <v>815</v>
      </c>
      <c r="G72" s="80" t="s">
        <v>1714</v>
      </c>
      <c r="H72" s="80" t="s">
        <v>816</v>
      </c>
      <c r="I72" s="80" t="s">
        <v>753</v>
      </c>
      <c r="J72" s="504" t="s">
        <v>1848</v>
      </c>
      <c r="O72" s="1" t="s">
        <v>1715</v>
      </c>
      <c r="P72" s="1" t="s">
        <v>817</v>
      </c>
      <c r="Q72" s="1" t="s">
        <v>818</v>
      </c>
      <c r="R72" s="1" t="s">
        <v>819</v>
      </c>
      <c r="S72" s="1" t="s">
        <v>820</v>
      </c>
      <c r="T72" s="1" t="s">
        <v>1716</v>
      </c>
      <c r="U72" s="1" t="s">
        <v>806</v>
      </c>
      <c r="V72" s="1" t="s">
        <v>821</v>
      </c>
      <c r="W72" s="1" t="s">
        <v>1849</v>
      </c>
    </row>
    <row r="73" spans="2:23" ht="12.75" customHeight="1" x14ac:dyDescent="0.2">
      <c r="B73" s="78" t="s">
        <v>1715</v>
      </c>
      <c r="C73" s="498" t="s">
        <v>817</v>
      </c>
      <c r="D73" s="498" t="s">
        <v>818</v>
      </c>
      <c r="E73" s="79" t="s">
        <v>819</v>
      </c>
      <c r="F73" s="80" t="s">
        <v>820</v>
      </c>
      <c r="G73" s="80" t="s">
        <v>1716</v>
      </c>
      <c r="H73" s="80" t="s">
        <v>806</v>
      </c>
      <c r="I73" s="80" t="s">
        <v>821</v>
      </c>
      <c r="J73" s="504" t="s">
        <v>1849</v>
      </c>
      <c r="O73" s="1" t="s">
        <v>802</v>
      </c>
    </row>
    <row r="74" spans="2:23" ht="12.75" customHeight="1" x14ac:dyDescent="0.2">
      <c r="B74" s="75" t="s">
        <v>822</v>
      </c>
      <c r="C74" s="81"/>
      <c r="D74" s="81"/>
      <c r="E74" s="81"/>
      <c r="F74" s="81"/>
      <c r="G74" s="81"/>
      <c r="H74" s="81"/>
      <c r="I74" s="81"/>
      <c r="J74" s="506"/>
      <c r="O74" s="1" t="s">
        <v>823</v>
      </c>
      <c r="P74" s="1" t="s">
        <v>824</v>
      </c>
      <c r="Q74" s="1" t="s">
        <v>578</v>
      </c>
      <c r="R74" s="1" t="s">
        <v>825</v>
      </c>
      <c r="S74" s="1" t="s">
        <v>637</v>
      </c>
      <c r="T74" s="1" t="s">
        <v>1717</v>
      </c>
      <c r="U74" s="1" t="s">
        <v>581</v>
      </c>
      <c r="V74" s="1" t="s">
        <v>575</v>
      </c>
      <c r="W74" s="1" t="s">
        <v>1850</v>
      </c>
    </row>
    <row r="75" spans="2:23" ht="12.75" customHeight="1" x14ac:dyDescent="0.2">
      <c r="B75" s="78" t="s">
        <v>823</v>
      </c>
      <c r="C75" s="498" t="s">
        <v>824</v>
      </c>
      <c r="D75" s="498" t="s">
        <v>578</v>
      </c>
      <c r="E75" s="79" t="s">
        <v>825</v>
      </c>
      <c r="F75" s="80" t="s">
        <v>637</v>
      </c>
      <c r="G75" s="80" t="s">
        <v>1717</v>
      </c>
      <c r="H75" s="80" t="s">
        <v>581</v>
      </c>
      <c r="I75" s="80" t="s">
        <v>575</v>
      </c>
      <c r="J75" s="504" t="s">
        <v>1850</v>
      </c>
      <c r="O75" s="1" t="s">
        <v>826</v>
      </c>
      <c r="P75" s="1" t="s">
        <v>827</v>
      </c>
      <c r="Q75" s="1" t="s">
        <v>648</v>
      </c>
      <c r="R75" s="1" t="s">
        <v>828</v>
      </c>
      <c r="S75" s="1" t="s">
        <v>736</v>
      </c>
      <c r="T75" s="1" t="s">
        <v>1718</v>
      </c>
      <c r="U75" s="1" t="s">
        <v>829</v>
      </c>
      <c r="V75" s="1" t="s">
        <v>830</v>
      </c>
      <c r="W75" s="1" t="s">
        <v>1851</v>
      </c>
    </row>
    <row r="76" spans="2:23" ht="12.75" customHeight="1" x14ac:dyDescent="0.2">
      <c r="B76" s="78" t="s">
        <v>826</v>
      </c>
      <c r="C76" s="498" t="s">
        <v>827</v>
      </c>
      <c r="D76" s="498" t="s">
        <v>648</v>
      </c>
      <c r="E76" s="79" t="s">
        <v>828</v>
      </c>
      <c r="F76" s="80" t="s">
        <v>736</v>
      </c>
      <c r="G76" s="80" t="s">
        <v>1718</v>
      </c>
      <c r="H76" s="80" t="s">
        <v>829</v>
      </c>
      <c r="I76" s="80" t="s">
        <v>830</v>
      </c>
      <c r="J76" s="504" t="s">
        <v>1851</v>
      </c>
      <c r="O76" s="1" t="s">
        <v>822</v>
      </c>
    </row>
    <row r="77" spans="2:23" ht="12.75" customHeight="1" x14ac:dyDescent="0.2">
      <c r="B77" s="75" t="s">
        <v>831</v>
      </c>
      <c r="C77" s="81"/>
      <c r="D77" s="81"/>
      <c r="E77" s="81"/>
      <c r="F77" s="81"/>
      <c r="G77" s="81"/>
      <c r="H77" s="81"/>
      <c r="I77" s="81"/>
      <c r="J77" s="506"/>
      <c r="O77" s="1" t="s">
        <v>832</v>
      </c>
      <c r="P77" s="1" t="s">
        <v>827</v>
      </c>
      <c r="Q77" s="1" t="s">
        <v>648</v>
      </c>
      <c r="R77" s="1" t="s">
        <v>828</v>
      </c>
      <c r="S77" s="1" t="s">
        <v>682</v>
      </c>
      <c r="T77" s="1" t="s">
        <v>1719</v>
      </c>
      <c r="U77" s="1" t="s">
        <v>833</v>
      </c>
      <c r="V77" s="1" t="s">
        <v>830</v>
      </c>
      <c r="W77" s="1" t="s">
        <v>1852</v>
      </c>
    </row>
    <row r="78" spans="2:23" ht="12.75" customHeight="1" x14ac:dyDescent="0.2">
      <c r="B78" s="78" t="s">
        <v>832</v>
      </c>
      <c r="C78" s="498" t="s">
        <v>827</v>
      </c>
      <c r="D78" s="498" t="s">
        <v>648</v>
      </c>
      <c r="E78" s="79" t="s">
        <v>828</v>
      </c>
      <c r="F78" s="80" t="s">
        <v>682</v>
      </c>
      <c r="G78" s="80" t="s">
        <v>1719</v>
      </c>
      <c r="H78" s="80" t="s">
        <v>833</v>
      </c>
      <c r="I78" s="80" t="s">
        <v>830</v>
      </c>
      <c r="J78" s="505" t="s">
        <v>1852</v>
      </c>
      <c r="O78" s="1" t="s">
        <v>831</v>
      </c>
    </row>
    <row r="79" spans="2:23" ht="12.75" customHeight="1" x14ac:dyDescent="0.2">
      <c r="B79" s="78" t="s">
        <v>834</v>
      </c>
      <c r="C79" s="498" t="s">
        <v>681</v>
      </c>
      <c r="D79" s="498" t="s">
        <v>835</v>
      </c>
      <c r="E79" s="79" t="s">
        <v>836</v>
      </c>
      <c r="F79" s="80" t="s">
        <v>607</v>
      </c>
      <c r="G79" s="80" t="s">
        <v>1694</v>
      </c>
      <c r="H79" s="80" t="s">
        <v>779</v>
      </c>
      <c r="I79" s="80" t="s">
        <v>837</v>
      </c>
      <c r="J79" s="504" t="s">
        <v>1853</v>
      </c>
      <c r="O79" s="1" t="s">
        <v>834</v>
      </c>
      <c r="P79" s="1" t="s">
        <v>681</v>
      </c>
      <c r="Q79" s="1" t="s">
        <v>835</v>
      </c>
      <c r="R79" s="1" t="s">
        <v>836</v>
      </c>
      <c r="S79" s="1" t="s">
        <v>607</v>
      </c>
      <c r="T79" s="1" t="s">
        <v>1694</v>
      </c>
      <c r="U79" s="1" t="s">
        <v>779</v>
      </c>
      <c r="V79" s="1" t="s">
        <v>837</v>
      </c>
      <c r="W79" s="1" t="s">
        <v>1853</v>
      </c>
    </row>
    <row r="80" spans="2:23" ht="12.75" customHeight="1" x14ac:dyDescent="0.2">
      <c r="B80" s="78" t="s">
        <v>838</v>
      </c>
      <c r="C80" s="498" t="s">
        <v>827</v>
      </c>
      <c r="D80" s="498" t="s">
        <v>686</v>
      </c>
      <c r="E80" s="79" t="s">
        <v>839</v>
      </c>
      <c r="F80" s="80" t="s">
        <v>709</v>
      </c>
      <c r="G80" s="80" t="s">
        <v>1720</v>
      </c>
      <c r="H80" s="80" t="s">
        <v>764</v>
      </c>
      <c r="I80" s="80" t="s">
        <v>840</v>
      </c>
      <c r="J80" s="505" t="s">
        <v>1854</v>
      </c>
      <c r="O80" s="1" t="s">
        <v>838</v>
      </c>
      <c r="P80" s="1" t="s">
        <v>827</v>
      </c>
      <c r="Q80" s="1" t="s">
        <v>686</v>
      </c>
      <c r="R80" s="1" t="s">
        <v>839</v>
      </c>
      <c r="S80" s="1" t="s">
        <v>709</v>
      </c>
      <c r="T80" s="1" t="s">
        <v>1720</v>
      </c>
      <c r="U80" s="1" t="s">
        <v>764</v>
      </c>
      <c r="V80" s="1" t="s">
        <v>840</v>
      </c>
      <c r="W80" s="1" t="s">
        <v>1854</v>
      </c>
    </row>
    <row r="81" spans="2:23" ht="12.75" customHeight="1" x14ac:dyDescent="0.2">
      <c r="B81" s="75" t="s">
        <v>841</v>
      </c>
      <c r="C81" s="81"/>
      <c r="D81" s="81"/>
      <c r="E81" s="81"/>
      <c r="F81" s="81"/>
      <c r="G81" s="81"/>
      <c r="H81" s="81"/>
      <c r="I81" s="81"/>
      <c r="J81" s="506"/>
      <c r="O81" s="1" t="s">
        <v>842</v>
      </c>
      <c r="P81" s="1" t="s">
        <v>843</v>
      </c>
      <c r="Q81" s="1" t="s">
        <v>844</v>
      </c>
      <c r="R81" s="1" t="s">
        <v>845</v>
      </c>
      <c r="S81" s="1" t="s">
        <v>679</v>
      </c>
      <c r="T81" s="1" t="s">
        <v>1721</v>
      </c>
      <c r="U81" s="1" t="s">
        <v>653</v>
      </c>
      <c r="V81" s="1" t="s">
        <v>710</v>
      </c>
      <c r="W81" s="1" t="s">
        <v>1855</v>
      </c>
    </row>
    <row r="82" spans="2:23" ht="12.75" customHeight="1" x14ac:dyDescent="0.2">
      <c r="B82" s="78" t="s">
        <v>842</v>
      </c>
      <c r="C82" s="498" t="s">
        <v>843</v>
      </c>
      <c r="D82" s="498" t="s">
        <v>844</v>
      </c>
      <c r="E82" s="79" t="s">
        <v>845</v>
      </c>
      <c r="F82" s="80" t="s">
        <v>679</v>
      </c>
      <c r="G82" s="80" t="s">
        <v>1721</v>
      </c>
      <c r="H82" s="80" t="s">
        <v>653</v>
      </c>
      <c r="I82" s="80" t="s">
        <v>710</v>
      </c>
      <c r="J82" s="505" t="s">
        <v>1855</v>
      </c>
      <c r="O82" s="1" t="s">
        <v>841</v>
      </c>
    </row>
    <row r="83" spans="2:23" ht="12.75" customHeight="1" x14ac:dyDescent="0.2">
      <c r="B83" s="78" t="s">
        <v>846</v>
      </c>
      <c r="C83" s="498" t="s">
        <v>748</v>
      </c>
      <c r="D83" s="498" t="s">
        <v>847</v>
      </c>
      <c r="E83" s="79" t="s">
        <v>848</v>
      </c>
      <c r="F83" s="80" t="s">
        <v>849</v>
      </c>
      <c r="G83" s="80" t="s">
        <v>1722</v>
      </c>
      <c r="H83" s="80" t="s">
        <v>792</v>
      </c>
      <c r="I83" s="80" t="s">
        <v>582</v>
      </c>
      <c r="J83" s="504" t="s">
        <v>1856</v>
      </c>
      <c r="O83" s="1" t="s">
        <v>846</v>
      </c>
      <c r="P83" s="1" t="s">
        <v>748</v>
      </c>
      <c r="Q83" s="1" t="s">
        <v>847</v>
      </c>
      <c r="R83" s="1" t="s">
        <v>848</v>
      </c>
      <c r="S83" s="1" t="s">
        <v>849</v>
      </c>
      <c r="T83" s="1" t="s">
        <v>1722</v>
      </c>
      <c r="U83" s="1" t="s">
        <v>792</v>
      </c>
      <c r="V83" s="1" t="s">
        <v>582</v>
      </c>
      <c r="W83" s="1" t="s">
        <v>1856</v>
      </c>
    </row>
    <row r="84" spans="2:23" ht="12.75" customHeight="1" x14ac:dyDescent="0.2">
      <c r="B84" s="78" t="s">
        <v>850</v>
      </c>
      <c r="C84" s="498" t="s">
        <v>851</v>
      </c>
      <c r="D84" s="498" t="s">
        <v>818</v>
      </c>
      <c r="E84" s="79" t="s">
        <v>819</v>
      </c>
      <c r="F84" s="80" t="s">
        <v>852</v>
      </c>
      <c r="G84" s="80" t="s">
        <v>1723</v>
      </c>
      <c r="H84" s="80" t="s">
        <v>792</v>
      </c>
      <c r="I84" s="80" t="s">
        <v>753</v>
      </c>
      <c r="J84" s="504" t="s">
        <v>1857</v>
      </c>
      <c r="O84" s="1" t="s">
        <v>850</v>
      </c>
      <c r="P84" s="1" t="s">
        <v>851</v>
      </c>
      <c r="Q84" s="1" t="s">
        <v>818</v>
      </c>
      <c r="R84" s="1" t="s">
        <v>819</v>
      </c>
      <c r="S84" s="1" t="s">
        <v>852</v>
      </c>
      <c r="T84" s="1" t="s">
        <v>1723</v>
      </c>
      <c r="U84" s="1" t="s">
        <v>792</v>
      </c>
      <c r="V84" s="1" t="s">
        <v>753</v>
      </c>
      <c r="W84" s="1" t="s">
        <v>1857</v>
      </c>
    </row>
    <row r="85" spans="2:23" ht="12.75" customHeight="1" x14ac:dyDescent="0.2">
      <c r="B85" s="75" t="s">
        <v>853</v>
      </c>
      <c r="C85" s="81"/>
      <c r="D85" s="81"/>
      <c r="E85" s="81"/>
      <c r="F85" s="81"/>
      <c r="G85" s="81"/>
      <c r="H85" s="81"/>
      <c r="I85" s="81"/>
      <c r="J85" s="506"/>
      <c r="O85" s="1" t="s">
        <v>854</v>
      </c>
      <c r="P85" s="1" t="s">
        <v>855</v>
      </c>
      <c r="Q85" s="1" t="s">
        <v>591</v>
      </c>
      <c r="R85" s="1" t="s">
        <v>856</v>
      </c>
      <c r="S85" s="1" t="s">
        <v>857</v>
      </c>
      <c r="T85" s="1" t="s">
        <v>1724</v>
      </c>
      <c r="U85" s="1" t="s">
        <v>752</v>
      </c>
      <c r="V85" s="1" t="s">
        <v>753</v>
      </c>
      <c r="W85" s="1" t="s">
        <v>1858</v>
      </c>
    </row>
    <row r="86" spans="2:23" ht="12.75" customHeight="1" x14ac:dyDescent="0.2">
      <c r="B86" s="78" t="s">
        <v>854</v>
      </c>
      <c r="C86" s="498" t="s">
        <v>855</v>
      </c>
      <c r="D86" s="498" t="s">
        <v>591</v>
      </c>
      <c r="E86" s="79" t="s">
        <v>856</v>
      </c>
      <c r="F86" s="80" t="s">
        <v>857</v>
      </c>
      <c r="G86" s="80" t="s">
        <v>1724</v>
      </c>
      <c r="H86" s="80" t="s">
        <v>752</v>
      </c>
      <c r="I86" s="80" t="s">
        <v>753</v>
      </c>
      <c r="J86" s="504" t="s">
        <v>1858</v>
      </c>
      <c r="O86" s="1" t="s">
        <v>858</v>
      </c>
    </row>
    <row r="87" spans="2:23" ht="12.75" customHeight="1" x14ac:dyDescent="0.2">
      <c r="B87" s="78" t="s">
        <v>858</v>
      </c>
      <c r="C87" s="498"/>
      <c r="D87" s="498"/>
      <c r="E87" s="79"/>
      <c r="F87" s="80"/>
      <c r="G87" s="80"/>
      <c r="H87" s="80"/>
      <c r="I87" s="80"/>
      <c r="J87" s="504"/>
      <c r="O87" s="1" t="s">
        <v>859</v>
      </c>
      <c r="P87" s="1" t="s">
        <v>860</v>
      </c>
      <c r="Q87" s="1" t="s">
        <v>861</v>
      </c>
      <c r="R87" s="1" t="s">
        <v>862</v>
      </c>
      <c r="S87" s="1" t="s">
        <v>863</v>
      </c>
      <c r="T87" s="1" t="s">
        <v>1725</v>
      </c>
      <c r="U87" s="1" t="s">
        <v>872</v>
      </c>
      <c r="V87" s="1" t="s">
        <v>753</v>
      </c>
      <c r="W87" s="1" t="s">
        <v>1859</v>
      </c>
    </row>
    <row r="88" spans="2:23" ht="12.75" customHeight="1" x14ac:dyDescent="0.2">
      <c r="B88" s="78" t="s">
        <v>859</v>
      </c>
      <c r="C88" s="498" t="s">
        <v>860</v>
      </c>
      <c r="D88" s="498" t="s">
        <v>861</v>
      </c>
      <c r="E88" s="79" t="s">
        <v>862</v>
      </c>
      <c r="F88" s="80" t="s">
        <v>863</v>
      </c>
      <c r="G88" s="80" t="s">
        <v>1725</v>
      </c>
      <c r="H88" s="80" t="s">
        <v>872</v>
      </c>
      <c r="I88" s="80" t="s">
        <v>753</v>
      </c>
      <c r="J88" s="505" t="s">
        <v>1859</v>
      </c>
      <c r="O88" s="1" t="s">
        <v>864</v>
      </c>
      <c r="P88" s="1" t="s">
        <v>865</v>
      </c>
      <c r="Q88" s="1" t="s">
        <v>749</v>
      </c>
      <c r="R88" s="1" t="s">
        <v>809</v>
      </c>
      <c r="S88" s="1" t="s">
        <v>852</v>
      </c>
      <c r="T88" s="1" t="s">
        <v>1726</v>
      </c>
      <c r="U88" s="1" t="s">
        <v>682</v>
      </c>
      <c r="V88" s="1" t="s">
        <v>753</v>
      </c>
      <c r="W88" s="1" t="s">
        <v>1860</v>
      </c>
    </row>
    <row r="89" spans="2:23" ht="12.75" customHeight="1" x14ac:dyDescent="0.2">
      <c r="B89" s="78" t="s">
        <v>864</v>
      </c>
      <c r="C89" s="498" t="s">
        <v>865</v>
      </c>
      <c r="D89" s="498" t="s">
        <v>749</v>
      </c>
      <c r="E89" s="79" t="s">
        <v>809</v>
      </c>
      <c r="F89" s="80" t="s">
        <v>852</v>
      </c>
      <c r="G89" s="80" t="s">
        <v>1726</v>
      </c>
      <c r="H89" s="80" t="s">
        <v>682</v>
      </c>
      <c r="I89" s="80" t="s">
        <v>753</v>
      </c>
      <c r="J89" s="504" t="s">
        <v>1860</v>
      </c>
      <c r="O89" s="1" t="s">
        <v>4</v>
      </c>
      <c r="P89" s="1" t="s">
        <v>855</v>
      </c>
      <c r="Q89" s="1" t="s">
        <v>861</v>
      </c>
      <c r="R89" s="1" t="s">
        <v>856</v>
      </c>
      <c r="S89" s="1" t="s">
        <v>857</v>
      </c>
      <c r="T89" s="1" t="s">
        <v>1724</v>
      </c>
      <c r="U89" s="1" t="s">
        <v>764</v>
      </c>
      <c r="V89" s="1" t="s">
        <v>753</v>
      </c>
      <c r="W89" s="1" t="s">
        <v>1861</v>
      </c>
    </row>
    <row r="90" spans="2:23" ht="12.75" customHeight="1" x14ac:dyDescent="0.2">
      <c r="B90" s="78" t="s">
        <v>4</v>
      </c>
      <c r="C90" s="498" t="s">
        <v>855</v>
      </c>
      <c r="D90" s="498" t="s">
        <v>861</v>
      </c>
      <c r="E90" s="79" t="s">
        <v>856</v>
      </c>
      <c r="F90" s="80" t="s">
        <v>857</v>
      </c>
      <c r="G90" s="80" t="s">
        <v>1724</v>
      </c>
      <c r="H90" s="80" t="s">
        <v>764</v>
      </c>
      <c r="I90" s="80" t="s">
        <v>753</v>
      </c>
      <c r="J90" s="504" t="s">
        <v>1861</v>
      </c>
      <c r="O90" s="1" t="s">
        <v>1727</v>
      </c>
      <c r="P90" s="1" t="s">
        <v>1728</v>
      </c>
      <c r="Q90" s="1" t="s">
        <v>1729</v>
      </c>
      <c r="R90" s="1" t="s">
        <v>926</v>
      </c>
      <c r="S90" s="1" t="s">
        <v>650</v>
      </c>
      <c r="T90" s="1" t="s">
        <v>1730</v>
      </c>
      <c r="U90" s="1" t="s">
        <v>567</v>
      </c>
      <c r="V90" s="1" t="s">
        <v>753</v>
      </c>
      <c r="W90" s="1" t="s">
        <v>1862</v>
      </c>
    </row>
    <row r="91" spans="2:23" ht="12.75" customHeight="1" x14ac:dyDescent="0.2">
      <c r="B91" s="78" t="s">
        <v>866</v>
      </c>
      <c r="C91" s="498" t="s">
        <v>855</v>
      </c>
      <c r="D91" s="498" t="s">
        <v>861</v>
      </c>
      <c r="E91" s="79" t="s">
        <v>856</v>
      </c>
      <c r="F91" s="80" t="s">
        <v>857</v>
      </c>
      <c r="G91" s="80" t="s">
        <v>1724</v>
      </c>
      <c r="H91" s="80" t="s">
        <v>680</v>
      </c>
      <c r="I91" s="80" t="s">
        <v>753</v>
      </c>
      <c r="J91" s="505" t="s">
        <v>1863</v>
      </c>
      <c r="O91" s="1" t="s">
        <v>866</v>
      </c>
      <c r="P91" s="1" t="s">
        <v>855</v>
      </c>
      <c r="Q91" s="1" t="s">
        <v>861</v>
      </c>
      <c r="R91" s="1" t="s">
        <v>856</v>
      </c>
      <c r="S91" s="1" t="s">
        <v>857</v>
      </c>
      <c r="T91" s="1" t="s">
        <v>1724</v>
      </c>
      <c r="U91" s="1" t="s">
        <v>680</v>
      </c>
      <c r="V91" s="1" t="s">
        <v>753</v>
      </c>
      <c r="W91" s="1" t="s">
        <v>1863</v>
      </c>
    </row>
    <row r="92" spans="2:23" ht="12.75" customHeight="1" x14ac:dyDescent="0.2">
      <c r="B92" s="78" t="s">
        <v>867</v>
      </c>
      <c r="C92" s="498" t="s">
        <v>855</v>
      </c>
      <c r="D92" s="498" t="s">
        <v>591</v>
      </c>
      <c r="E92" s="79" t="s">
        <v>798</v>
      </c>
      <c r="F92" s="80" t="s">
        <v>868</v>
      </c>
      <c r="G92" s="80" t="s">
        <v>1731</v>
      </c>
      <c r="H92" s="80" t="s">
        <v>752</v>
      </c>
      <c r="I92" s="80" t="s">
        <v>753</v>
      </c>
      <c r="J92" s="504" t="s">
        <v>1864</v>
      </c>
      <c r="O92" s="1" t="s">
        <v>867</v>
      </c>
      <c r="P92" s="1" t="s">
        <v>855</v>
      </c>
      <c r="Q92" s="1" t="s">
        <v>591</v>
      </c>
      <c r="R92" s="1" t="s">
        <v>798</v>
      </c>
      <c r="S92" s="1" t="s">
        <v>868</v>
      </c>
      <c r="T92" s="1" t="s">
        <v>1731</v>
      </c>
      <c r="U92" s="1" t="s">
        <v>752</v>
      </c>
      <c r="V92" s="1" t="s">
        <v>753</v>
      </c>
      <c r="W92" s="1" t="s">
        <v>1864</v>
      </c>
    </row>
    <row r="93" spans="2:23" ht="12.75" customHeight="1" x14ac:dyDescent="0.2">
      <c r="B93" s="78" t="s">
        <v>869</v>
      </c>
      <c r="C93" s="498" t="s">
        <v>870</v>
      </c>
      <c r="D93" s="498" t="s">
        <v>686</v>
      </c>
      <c r="E93" s="79" t="s">
        <v>871</v>
      </c>
      <c r="F93" s="80" t="s">
        <v>857</v>
      </c>
      <c r="G93" s="80" t="s">
        <v>1732</v>
      </c>
      <c r="H93" s="80" t="s">
        <v>1733</v>
      </c>
      <c r="I93" s="80" t="s">
        <v>753</v>
      </c>
      <c r="J93" s="504" t="s">
        <v>1865</v>
      </c>
      <c r="O93" s="1" t="s">
        <v>869</v>
      </c>
      <c r="P93" s="1" t="s">
        <v>870</v>
      </c>
      <c r="Q93" s="1" t="s">
        <v>686</v>
      </c>
      <c r="R93" s="1" t="s">
        <v>871</v>
      </c>
      <c r="S93" s="1" t="s">
        <v>857</v>
      </c>
      <c r="T93" s="1" t="s">
        <v>1732</v>
      </c>
      <c r="U93" s="1" t="s">
        <v>1733</v>
      </c>
      <c r="V93" s="1" t="s">
        <v>753</v>
      </c>
      <c r="W93" s="1" t="s">
        <v>1865</v>
      </c>
    </row>
    <row r="94" spans="2:23" ht="12.75" customHeight="1" x14ac:dyDescent="0.2">
      <c r="B94" s="78" t="s">
        <v>1727</v>
      </c>
      <c r="C94" s="498" t="s">
        <v>1728</v>
      </c>
      <c r="D94" s="498" t="s">
        <v>1729</v>
      </c>
      <c r="E94" s="79" t="s">
        <v>926</v>
      </c>
      <c r="F94" s="80" t="s">
        <v>650</v>
      </c>
      <c r="G94" s="80" t="s">
        <v>1730</v>
      </c>
      <c r="H94" s="80" t="s">
        <v>567</v>
      </c>
      <c r="I94" s="80" t="s">
        <v>753</v>
      </c>
      <c r="J94" s="504" t="s">
        <v>1862</v>
      </c>
      <c r="O94" s="1" t="s">
        <v>1734</v>
      </c>
      <c r="P94" s="1" t="s">
        <v>1735</v>
      </c>
      <c r="Q94" s="1" t="s">
        <v>648</v>
      </c>
      <c r="R94" s="1" t="s">
        <v>1736</v>
      </c>
      <c r="S94" s="1" t="s">
        <v>1737</v>
      </c>
      <c r="T94" s="1" t="s">
        <v>1738</v>
      </c>
      <c r="U94" s="1" t="s">
        <v>683</v>
      </c>
      <c r="V94" s="1" t="s">
        <v>753</v>
      </c>
      <c r="W94" s="1" t="s">
        <v>1866</v>
      </c>
    </row>
    <row r="95" spans="2:23" ht="12.75" customHeight="1" x14ac:dyDescent="0.2">
      <c r="B95" s="78" t="s">
        <v>1734</v>
      </c>
      <c r="C95" s="498" t="s">
        <v>1735</v>
      </c>
      <c r="D95" s="498" t="s">
        <v>648</v>
      </c>
      <c r="E95" s="79" t="s">
        <v>1736</v>
      </c>
      <c r="F95" s="80" t="s">
        <v>1737</v>
      </c>
      <c r="G95" s="80" t="s">
        <v>1738</v>
      </c>
      <c r="H95" s="80" t="s">
        <v>683</v>
      </c>
      <c r="I95" s="80" t="s">
        <v>753</v>
      </c>
      <c r="J95" s="504" t="s">
        <v>1866</v>
      </c>
      <c r="O95" s="1" t="s">
        <v>853</v>
      </c>
    </row>
    <row r="96" spans="2:23" ht="12.75" customHeight="1" x14ac:dyDescent="0.2">
      <c r="B96" s="75" t="s">
        <v>873</v>
      </c>
      <c r="C96" s="81"/>
      <c r="D96" s="81"/>
      <c r="E96" s="81"/>
      <c r="F96" s="81"/>
      <c r="G96" s="81"/>
      <c r="H96" s="81"/>
      <c r="I96" s="81"/>
      <c r="J96" s="506"/>
      <c r="O96" s="1" t="s">
        <v>874</v>
      </c>
      <c r="P96" s="1" t="s">
        <v>875</v>
      </c>
      <c r="Q96" s="1" t="s">
        <v>876</v>
      </c>
      <c r="R96" s="1" t="s">
        <v>877</v>
      </c>
      <c r="S96" s="1" t="s">
        <v>1739</v>
      </c>
      <c r="T96" s="1" t="s">
        <v>1740</v>
      </c>
      <c r="U96" s="1" t="s">
        <v>752</v>
      </c>
      <c r="V96" s="1" t="s">
        <v>753</v>
      </c>
      <c r="W96" s="1" t="s">
        <v>1867</v>
      </c>
    </row>
    <row r="97" spans="2:23" ht="12.75" customHeight="1" x14ac:dyDescent="0.2">
      <c r="B97" s="78" t="s">
        <v>874</v>
      </c>
      <c r="C97" s="498" t="s">
        <v>875</v>
      </c>
      <c r="D97" s="498" t="s">
        <v>876</v>
      </c>
      <c r="E97" s="79" t="s">
        <v>877</v>
      </c>
      <c r="F97" s="80" t="s">
        <v>1739</v>
      </c>
      <c r="G97" s="80" t="s">
        <v>1740</v>
      </c>
      <c r="H97" s="80" t="s">
        <v>752</v>
      </c>
      <c r="I97" s="80" t="s">
        <v>753</v>
      </c>
      <c r="J97" s="504" t="s">
        <v>1867</v>
      </c>
      <c r="O97" s="1" t="s">
        <v>878</v>
      </c>
      <c r="P97" s="1" t="s">
        <v>879</v>
      </c>
      <c r="Q97" s="1" t="s">
        <v>880</v>
      </c>
      <c r="R97" s="1" t="s">
        <v>881</v>
      </c>
      <c r="S97" s="1" t="s">
        <v>863</v>
      </c>
      <c r="T97" s="1" t="s">
        <v>1741</v>
      </c>
      <c r="U97" s="1" t="s">
        <v>1742</v>
      </c>
      <c r="V97" s="1" t="s">
        <v>753</v>
      </c>
      <c r="W97" s="1" t="s">
        <v>1868</v>
      </c>
    </row>
    <row r="98" spans="2:23" ht="12.75" customHeight="1" x14ac:dyDescent="0.2">
      <c r="B98" s="78" t="s">
        <v>878</v>
      </c>
      <c r="C98" s="498" t="s">
        <v>879</v>
      </c>
      <c r="D98" s="498" t="s">
        <v>880</v>
      </c>
      <c r="E98" s="79" t="s">
        <v>881</v>
      </c>
      <c r="F98" s="80" t="s">
        <v>863</v>
      </c>
      <c r="G98" s="80" t="s">
        <v>1741</v>
      </c>
      <c r="H98" s="80" t="s">
        <v>1742</v>
      </c>
      <c r="I98" s="80" t="s">
        <v>753</v>
      </c>
      <c r="J98" s="504" t="s">
        <v>1868</v>
      </c>
      <c r="O98" s="1" t="s">
        <v>882</v>
      </c>
      <c r="P98" s="1" t="s">
        <v>817</v>
      </c>
      <c r="Q98" s="1" t="s">
        <v>883</v>
      </c>
      <c r="R98" s="1" t="s">
        <v>819</v>
      </c>
      <c r="S98" s="1" t="s">
        <v>863</v>
      </c>
      <c r="T98" s="1" t="s">
        <v>1694</v>
      </c>
      <c r="U98" s="1" t="s">
        <v>1743</v>
      </c>
      <c r="V98" s="1" t="s">
        <v>821</v>
      </c>
      <c r="W98" s="1" t="s">
        <v>1869</v>
      </c>
    </row>
    <row r="99" spans="2:23" ht="12.75" customHeight="1" x14ac:dyDescent="0.2">
      <c r="B99" s="78" t="s">
        <v>882</v>
      </c>
      <c r="C99" s="498" t="s">
        <v>817</v>
      </c>
      <c r="D99" s="498" t="s">
        <v>883</v>
      </c>
      <c r="E99" s="79" t="s">
        <v>819</v>
      </c>
      <c r="F99" s="80" t="s">
        <v>863</v>
      </c>
      <c r="G99" s="80" t="s">
        <v>1694</v>
      </c>
      <c r="H99" s="80" t="s">
        <v>1743</v>
      </c>
      <c r="I99" s="80" t="s">
        <v>821</v>
      </c>
      <c r="J99" s="504" t="s">
        <v>1869</v>
      </c>
      <c r="O99" s="1" t="s">
        <v>884</v>
      </c>
      <c r="P99" s="1" t="s">
        <v>817</v>
      </c>
      <c r="Q99" s="1" t="s">
        <v>883</v>
      </c>
      <c r="R99" s="1" t="s">
        <v>819</v>
      </c>
      <c r="S99" s="1" t="s">
        <v>805</v>
      </c>
      <c r="T99" s="1" t="s">
        <v>1682</v>
      </c>
      <c r="U99" s="1" t="s">
        <v>752</v>
      </c>
      <c r="V99" s="1" t="s">
        <v>821</v>
      </c>
      <c r="W99" s="1" t="s">
        <v>1870</v>
      </c>
    </row>
    <row r="100" spans="2:23" ht="12.75" customHeight="1" x14ac:dyDescent="0.2">
      <c r="B100" s="78" t="s">
        <v>884</v>
      </c>
      <c r="C100" s="498" t="s">
        <v>817</v>
      </c>
      <c r="D100" s="498" t="s">
        <v>883</v>
      </c>
      <c r="E100" s="79" t="s">
        <v>819</v>
      </c>
      <c r="F100" s="80" t="s">
        <v>805</v>
      </c>
      <c r="G100" s="80" t="s">
        <v>1682</v>
      </c>
      <c r="H100" s="80" t="s">
        <v>752</v>
      </c>
      <c r="I100" s="80" t="s">
        <v>821</v>
      </c>
      <c r="J100" s="504" t="s">
        <v>1870</v>
      </c>
      <c r="O100" s="1" t="s">
        <v>873</v>
      </c>
    </row>
    <row r="101" spans="2:23" ht="12.75" customHeight="1" x14ac:dyDescent="0.2">
      <c r="B101" s="75" t="s">
        <v>885</v>
      </c>
      <c r="C101" s="81"/>
      <c r="D101" s="81"/>
      <c r="E101" s="81"/>
      <c r="F101" s="81"/>
      <c r="G101" s="81"/>
      <c r="H101" s="81"/>
      <c r="I101" s="81"/>
      <c r="J101" s="506"/>
      <c r="O101" s="1" t="s">
        <v>886</v>
      </c>
      <c r="P101" s="1" t="s">
        <v>887</v>
      </c>
      <c r="Q101" s="1" t="s">
        <v>888</v>
      </c>
      <c r="R101" s="1" t="s">
        <v>889</v>
      </c>
      <c r="S101" s="1" t="s">
        <v>890</v>
      </c>
      <c r="T101" s="1" t="s">
        <v>1744</v>
      </c>
      <c r="U101" s="1" t="s">
        <v>560</v>
      </c>
      <c r="V101" s="1" t="s">
        <v>891</v>
      </c>
      <c r="W101" s="1" t="s">
        <v>1871</v>
      </c>
    </row>
    <row r="102" spans="2:23" ht="12.75" customHeight="1" x14ac:dyDescent="0.2">
      <c r="B102" s="78" t="s">
        <v>886</v>
      </c>
      <c r="C102" s="498" t="s">
        <v>887</v>
      </c>
      <c r="D102" s="498" t="s">
        <v>888</v>
      </c>
      <c r="E102" s="79" t="s">
        <v>889</v>
      </c>
      <c r="F102" s="80" t="s">
        <v>890</v>
      </c>
      <c r="G102" s="80" t="s">
        <v>1744</v>
      </c>
      <c r="H102" s="80" t="s">
        <v>560</v>
      </c>
      <c r="I102" s="80" t="s">
        <v>891</v>
      </c>
      <c r="J102" s="504" t="s">
        <v>1871</v>
      </c>
      <c r="O102" s="1" t="s">
        <v>892</v>
      </c>
      <c r="P102" s="1" t="s">
        <v>893</v>
      </c>
      <c r="Q102" s="1" t="s">
        <v>894</v>
      </c>
      <c r="R102" s="1" t="s">
        <v>895</v>
      </c>
      <c r="S102" s="1" t="s">
        <v>758</v>
      </c>
      <c r="T102" s="1" t="s">
        <v>1745</v>
      </c>
      <c r="U102" s="1" t="s">
        <v>833</v>
      </c>
      <c r="V102" s="1" t="s">
        <v>896</v>
      </c>
      <c r="W102" s="1" t="s">
        <v>1872</v>
      </c>
    </row>
    <row r="103" spans="2:23" ht="12.75" customHeight="1" x14ac:dyDescent="0.2">
      <c r="B103" s="78" t="s">
        <v>892</v>
      </c>
      <c r="C103" s="498" t="s">
        <v>893</v>
      </c>
      <c r="D103" s="498" t="s">
        <v>894</v>
      </c>
      <c r="E103" s="79" t="s">
        <v>895</v>
      </c>
      <c r="F103" s="80" t="s">
        <v>758</v>
      </c>
      <c r="G103" s="80" t="s">
        <v>1745</v>
      </c>
      <c r="H103" s="80" t="s">
        <v>833</v>
      </c>
      <c r="I103" s="80" t="s">
        <v>896</v>
      </c>
      <c r="J103" s="504" t="s">
        <v>1872</v>
      </c>
      <c r="O103" s="1" t="s">
        <v>897</v>
      </c>
      <c r="P103" s="1" t="s">
        <v>898</v>
      </c>
      <c r="Q103" s="1" t="s">
        <v>587</v>
      </c>
      <c r="R103" s="1" t="s">
        <v>899</v>
      </c>
      <c r="S103" s="1" t="s">
        <v>900</v>
      </c>
      <c r="T103" s="1" t="s">
        <v>1746</v>
      </c>
      <c r="U103" s="1" t="s">
        <v>770</v>
      </c>
      <c r="V103" s="1" t="s">
        <v>896</v>
      </c>
      <c r="W103" s="1" t="s">
        <v>1873</v>
      </c>
    </row>
    <row r="104" spans="2:23" ht="12.75" customHeight="1" x14ac:dyDescent="0.2">
      <c r="B104" s="78" t="s">
        <v>897</v>
      </c>
      <c r="C104" s="498" t="s">
        <v>898</v>
      </c>
      <c r="D104" s="498" t="s">
        <v>587</v>
      </c>
      <c r="E104" s="79" t="s">
        <v>899</v>
      </c>
      <c r="F104" s="80" t="s">
        <v>900</v>
      </c>
      <c r="G104" s="80" t="s">
        <v>1746</v>
      </c>
      <c r="H104" s="80" t="s">
        <v>770</v>
      </c>
      <c r="I104" s="80" t="s">
        <v>896</v>
      </c>
      <c r="J104" s="504" t="s">
        <v>1873</v>
      </c>
      <c r="O104" s="1" t="s">
        <v>902</v>
      </c>
      <c r="P104" s="1" t="s">
        <v>903</v>
      </c>
      <c r="Q104" s="1" t="s">
        <v>904</v>
      </c>
      <c r="R104" s="1" t="s">
        <v>905</v>
      </c>
      <c r="S104" s="1" t="s">
        <v>906</v>
      </c>
      <c r="T104" s="1" t="s">
        <v>1747</v>
      </c>
      <c r="U104" s="1" t="s">
        <v>581</v>
      </c>
      <c r="V104" s="1" t="s">
        <v>907</v>
      </c>
      <c r="W104" s="1" t="s">
        <v>1874</v>
      </c>
    </row>
    <row r="105" spans="2:23" ht="12.75" customHeight="1" x14ac:dyDescent="0.2">
      <c r="B105" s="78" t="s">
        <v>902</v>
      </c>
      <c r="C105" s="498" t="s">
        <v>903</v>
      </c>
      <c r="D105" s="498" t="s">
        <v>904</v>
      </c>
      <c r="E105" s="79" t="s">
        <v>905</v>
      </c>
      <c r="F105" s="80" t="s">
        <v>906</v>
      </c>
      <c r="G105" s="80" t="s">
        <v>1747</v>
      </c>
      <c r="H105" s="80" t="s">
        <v>581</v>
      </c>
      <c r="I105" s="80" t="s">
        <v>907</v>
      </c>
      <c r="J105" s="504" t="s">
        <v>1874</v>
      </c>
      <c r="O105" s="1" t="s">
        <v>908</v>
      </c>
      <c r="P105" s="1" t="s">
        <v>903</v>
      </c>
      <c r="Q105" s="1" t="s">
        <v>909</v>
      </c>
      <c r="R105" s="1" t="s">
        <v>910</v>
      </c>
      <c r="S105" s="1" t="s">
        <v>906</v>
      </c>
      <c r="T105" s="1" t="s">
        <v>1747</v>
      </c>
      <c r="U105" s="1" t="s">
        <v>1748</v>
      </c>
      <c r="V105" s="1" t="s">
        <v>907</v>
      </c>
      <c r="W105" s="1" t="s">
        <v>1875</v>
      </c>
    </row>
    <row r="106" spans="2:23" ht="12.75" customHeight="1" x14ac:dyDescent="0.2">
      <c r="B106" s="78" t="s">
        <v>908</v>
      </c>
      <c r="C106" s="498" t="s">
        <v>903</v>
      </c>
      <c r="D106" s="498" t="s">
        <v>909</v>
      </c>
      <c r="E106" s="79" t="s">
        <v>910</v>
      </c>
      <c r="F106" s="80" t="s">
        <v>906</v>
      </c>
      <c r="G106" s="80" t="s">
        <v>1747</v>
      </c>
      <c r="H106" s="80" t="s">
        <v>1748</v>
      </c>
      <c r="I106" s="80" t="s">
        <v>907</v>
      </c>
      <c r="J106" s="504" t="s">
        <v>1875</v>
      </c>
      <c r="O106" s="1" t="s">
        <v>885</v>
      </c>
    </row>
    <row r="107" spans="2:23" ht="12.75" customHeight="1" x14ac:dyDescent="0.2">
      <c r="B107" s="78" t="s">
        <v>911</v>
      </c>
      <c r="C107" s="498" t="s">
        <v>774</v>
      </c>
      <c r="D107" s="498" t="s">
        <v>912</v>
      </c>
      <c r="E107" s="79" t="s">
        <v>848</v>
      </c>
      <c r="F107" s="80" t="s">
        <v>906</v>
      </c>
      <c r="G107" s="80" t="s">
        <v>1749</v>
      </c>
      <c r="H107" s="80" t="s">
        <v>683</v>
      </c>
      <c r="I107" s="80" t="s">
        <v>913</v>
      </c>
      <c r="J107" s="504" t="s">
        <v>1876</v>
      </c>
      <c r="O107" s="1" t="s">
        <v>911</v>
      </c>
      <c r="P107" s="1" t="s">
        <v>774</v>
      </c>
      <c r="Q107" s="1" t="s">
        <v>912</v>
      </c>
      <c r="R107" s="1" t="s">
        <v>848</v>
      </c>
      <c r="S107" s="1" t="s">
        <v>906</v>
      </c>
      <c r="T107" s="1" t="s">
        <v>1749</v>
      </c>
      <c r="U107" s="1" t="s">
        <v>683</v>
      </c>
      <c r="V107" s="1" t="s">
        <v>913</v>
      </c>
      <c r="W107" s="1" t="s">
        <v>1876</v>
      </c>
    </row>
    <row r="108" spans="2:23" ht="12.75" customHeight="1" x14ac:dyDescent="0.2">
      <c r="B108" s="78" t="s">
        <v>1750</v>
      </c>
      <c r="C108" s="498" t="s">
        <v>951</v>
      </c>
      <c r="D108" s="498" t="s">
        <v>635</v>
      </c>
      <c r="E108" s="79" t="s">
        <v>952</v>
      </c>
      <c r="F108" s="80" t="s">
        <v>953</v>
      </c>
      <c r="G108" s="80" t="s">
        <v>1751</v>
      </c>
      <c r="H108" s="80" t="s">
        <v>954</v>
      </c>
      <c r="I108" s="80" t="s">
        <v>949</v>
      </c>
      <c r="J108" s="504" t="s">
        <v>1877</v>
      </c>
      <c r="O108" s="1" t="s">
        <v>1750</v>
      </c>
      <c r="P108" s="1" t="s">
        <v>951</v>
      </c>
      <c r="Q108" s="1" t="s">
        <v>635</v>
      </c>
      <c r="R108" s="1" t="s">
        <v>952</v>
      </c>
      <c r="S108" s="1" t="s">
        <v>953</v>
      </c>
      <c r="T108" s="1" t="s">
        <v>1751</v>
      </c>
      <c r="U108" s="1" t="s">
        <v>954</v>
      </c>
      <c r="V108" s="1" t="s">
        <v>949</v>
      </c>
      <c r="W108" s="1" t="s">
        <v>1877</v>
      </c>
    </row>
    <row r="109" spans="2:23" ht="12.75" customHeight="1" x14ac:dyDescent="0.2">
      <c r="B109" s="75" t="s">
        <v>914</v>
      </c>
      <c r="C109" s="81"/>
      <c r="D109" s="81"/>
      <c r="E109" s="81"/>
      <c r="F109" s="81"/>
      <c r="G109" s="81"/>
      <c r="H109" s="81"/>
      <c r="I109" s="81"/>
      <c r="J109" s="506"/>
      <c r="O109" s="1" t="s">
        <v>915</v>
      </c>
      <c r="P109" s="1" t="s">
        <v>677</v>
      </c>
      <c r="Q109" s="1" t="s">
        <v>587</v>
      </c>
      <c r="R109" s="1" t="s">
        <v>836</v>
      </c>
      <c r="S109" s="1" t="s">
        <v>573</v>
      </c>
      <c r="T109" s="1" t="s">
        <v>1752</v>
      </c>
      <c r="U109" s="1" t="s">
        <v>567</v>
      </c>
      <c r="V109" s="1" t="s">
        <v>916</v>
      </c>
      <c r="W109" s="1" t="s">
        <v>1878</v>
      </c>
    </row>
    <row r="110" spans="2:23" ht="12.75" customHeight="1" x14ac:dyDescent="0.2">
      <c r="B110" s="78" t="s">
        <v>915</v>
      </c>
      <c r="C110" s="498" t="s">
        <v>677</v>
      </c>
      <c r="D110" s="498" t="s">
        <v>587</v>
      </c>
      <c r="E110" s="79" t="s">
        <v>836</v>
      </c>
      <c r="F110" s="80" t="s">
        <v>573</v>
      </c>
      <c r="G110" s="80" t="s">
        <v>1752</v>
      </c>
      <c r="H110" s="80" t="s">
        <v>567</v>
      </c>
      <c r="I110" s="80" t="s">
        <v>916</v>
      </c>
      <c r="J110" s="504" t="s">
        <v>1878</v>
      </c>
      <c r="O110" s="1" t="s">
        <v>917</v>
      </c>
      <c r="P110" s="1" t="s">
        <v>681</v>
      </c>
      <c r="Q110" s="1" t="s">
        <v>658</v>
      </c>
      <c r="R110" s="1" t="s">
        <v>918</v>
      </c>
      <c r="S110" s="1" t="s">
        <v>650</v>
      </c>
      <c r="T110" s="1" t="s">
        <v>1753</v>
      </c>
      <c r="U110" s="1" t="s">
        <v>727</v>
      </c>
      <c r="V110" s="1" t="s">
        <v>896</v>
      </c>
      <c r="W110" s="1" t="s">
        <v>1879</v>
      </c>
    </row>
    <row r="111" spans="2:23" ht="12.75" customHeight="1" x14ac:dyDescent="0.2">
      <c r="B111" s="78" t="s">
        <v>917</v>
      </c>
      <c r="C111" s="498" t="s">
        <v>681</v>
      </c>
      <c r="D111" s="498" t="s">
        <v>658</v>
      </c>
      <c r="E111" s="79" t="s">
        <v>918</v>
      </c>
      <c r="F111" s="80" t="s">
        <v>650</v>
      </c>
      <c r="G111" s="80" t="s">
        <v>1753</v>
      </c>
      <c r="H111" s="80" t="s">
        <v>727</v>
      </c>
      <c r="I111" s="80" t="s">
        <v>896</v>
      </c>
      <c r="J111" s="504" t="s">
        <v>1879</v>
      </c>
      <c r="O111" s="1" t="s">
        <v>914</v>
      </c>
    </row>
    <row r="112" spans="2:23" ht="12.75" customHeight="1" x14ac:dyDescent="0.2">
      <c r="B112" s="78" t="s">
        <v>919</v>
      </c>
      <c r="C112" s="498" t="s">
        <v>920</v>
      </c>
      <c r="D112" s="498" t="s">
        <v>861</v>
      </c>
      <c r="E112" s="79" t="s">
        <v>921</v>
      </c>
      <c r="F112" s="80" t="s">
        <v>688</v>
      </c>
      <c r="G112" s="80" t="s">
        <v>1754</v>
      </c>
      <c r="H112" s="80" t="s">
        <v>922</v>
      </c>
      <c r="I112" s="80" t="s">
        <v>896</v>
      </c>
      <c r="J112" s="504" t="s">
        <v>1880</v>
      </c>
      <c r="O112" s="1" t="s">
        <v>919</v>
      </c>
      <c r="P112" s="1" t="s">
        <v>920</v>
      </c>
      <c r="Q112" s="1" t="s">
        <v>861</v>
      </c>
      <c r="R112" s="1" t="s">
        <v>921</v>
      </c>
      <c r="S112" s="1" t="s">
        <v>688</v>
      </c>
      <c r="T112" s="1" t="s">
        <v>1754</v>
      </c>
      <c r="U112" s="1" t="s">
        <v>922</v>
      </c>
      <c r="V112" s="1" t="s">
        <v>896</v>
      </c>
      <c r="W112" s="1" t="s">
        <v>1880</v>
      </c>
    </row>
    <row r="113" spans="2:23" ht="12.75" customHeight="1" x14ac:dyDescent="0.2">
      <c r="B113" s="75" t="s">
        <v>923</v>
      </c>
      <c r="C113" s="81"/>
      <c r="D113" s="81"/>
      <c r="E113" s="81"/>
      <c r="F113" s="81"/>
      <c r="G113" s="81"/>
      <c r="H113" s="81"/>
      <c r="I113" s="81"/>
      <c r="J113" s="506"/>
      <c r="O113" s="1" t="s">
        <v>924</v>
      </c>
      <c r="P113" s="1" t="s">
        <v>925</v>
      </c>
      <c r="Q113" s="1" t="s">
        <v>876</v>
      </c>
      <c r="R113" s="1" t="s">
        <v>926</v>
      </c>
      <c r="S113" s="1" t="s">
        <v>580</v>
      </c>
      <c r="T113" s="1" t="s">
        <v>1755</v>
      </c>
      <c r="U113" s="1" t="s">
        <v>1666</v>
      </c>
      <c r="V113" s="1" t="s">
        <v>927</v>
      </c>
      <c r="W113" s="1" t="s">
        <v>1881</v>
      </c>
    </row>
    <row r="114" spans="2:23" ht="12.75" customHeight="1" x14ac:dyDescent="0.2">
      <c r="B114" s="78" t="s">
        <v>924</v>
      </c>
      <c r="C114" s="498" t="s">
        <v>925</v>
      </c>
      <c r="D114" s="498" t="s">
        <v>876</v>
      </c>
      <c r="E114" s="79" t="s">
        <v>926</v>
      </c>
      <c r="F114" s="80" t="s">
        <v>580</v>
      </c>
      <c r="G114" s="80" t="s">
        <v>1755</v>
      </c>
      <c r="H114" s="80" t="s">
        <v>1666</v>
      </c>
      <c r="I114" s="80" t="s">
        <v>927</v>
      </c>
      <c r="J114" s="504" t="s">
        <v>1881</v>
      </c>
      <c r="O114" s="1" t="s">
        <v>928</v>
      </c>
      <c r="P114" s="1" t="s">
        <v>929</v>
      </c>
      <c r="Q114" s="1" t="s">
        <v>930</v>
      </c>
      <c r="R114" s="1" t="s">
        <v>931</v>
      </c>
      <c r="S114" s="1" t="s">
        <v>602</v>
      </c>
      <c r="T114" s="1" t="s">
        <v>1756</v>
      </c>
      <c r="U114" s="1" t="s">
        <v>932</v>
      </c>
      <c r="V114" s="1" t="s">
        <v>896</v>
      </c>
      <c r="W114" s="1" t="s">
        <v>1882</v>
      </c>
    </row>
    <row r="115" spans="2:23" ht="12.75" customHeight="1" x14ac:dyDescent="0.2">
      <c r="B115" s="78" t="s">
        <v>928</v>
      </c>
      <c r="C115" s="498" t="s">
        <v>929</v>
      </c>
      <c r="D115" s="498" t="s">
        <v>930</v>
      </c>
      <c r="E115" s="79" t="s">
        <v>931</v>
      </c>
      <c r="F115" s="80" t="s">
        <v>602</v>
      </c>
      <c r="G115" s="80" t="s">
        <v>1756</v>
      </c>
      <c r="H115" s="80" t="s">
        <v>932</v>
      </c>
      <c r="I115" s="80" t="s">
        <v>896</v>
      </c>
      <c r="J115" s="504" t="s">
        <v>1882</v>
      </c>
      <c r="O115" s="1" t="s">
        <v>933</v>
      </c>
      <c r="P115" s="1" t="s">
        <v>934</v>
      </c>
      <c r="Q115" s="1" t="s">
        <v>935</v>
      </c>
      <c r="R115" s="1" t="s">
        <v>936</v>
      </c>
      <c r="S115" s="1" t="s">
        <v>937</v>
      </c>
      <c r="T115" s="1" t="s">
        <v>1757</v>
      </c>
      <c r="U115" s="1" t="s">
        <v>581</v>
      </c>
      <c r="V115" s="1" t="s">
        <v>927</v>
      </c>
      <c r="W115" s="1" t="s">
        <v>1883</v>
      </c>
    </row>
    <row r="116" spans="2:23" ht="12.75" customHeight="1" x14ac:dyDescent="0.2">
      <c r="B116" s="78" t="s">
        <v>933</v>
      </c>
      <c r="C116" s="498" t="s">
        <v>934</v>
      </c>
      <c r="D116" s="498" t="s">
        <v>935</v>
      </c>
      <c r="E116" s="79" t="s">
        <v>936</v>
      </c>
      <c r="F116" s="80" t="s">
        <v>937</v>
      </c>
      <c r="G116" s="80" t="s">
        <v>1757</v>
      </c>
      <c r="H116" s="80" t="s">
        <v>581</v>
      </c>
      <c r="I116" s="80" t="s">
        <v>927</v>
      </c>
      <c r="J116" s="504" t="s">
        <v>1883</v>
      </c>
      <c r="O116" s="1" t="s">
        <v>923</v>
      </c>
    </row>
    <row r="117" spans="2:23" ht="12.75" customHeight="1" x14ac:dyDescent="0.2">
      <c r="B117" s="75" t="s">
        <v>1758</v>
      </c>
      <c r="C117" s="81"/>
      <c r="D117" s="81"/>
      <c r="E117" s="81"/>
      <c r="F117" s="81"/>
      <c r="G117" s="81"/>
      <c r="H117" s="81"/>
      <c r="I117" s="81"/>
      <c r="J117" s="506"/>
      <c r="O117" s="1" t="s">
        <v>1759</v>
      </c>
      <c r="P117" s="1" t="s">
        <v>938</v>
      </c>
      <c r="Q117" s="1" t="s">
        <v>564</v>
      </c>
      <c r="R117" s="1" t="s">
        <v>649</v>
      </c>
      <c r="S117" s="1" t="s">
        <v>782</v>
      </c>
      <c r="T117" s="1" t="s">
        <v>1760</v>
      </c>
      <c r="U117" s="1" t="s">
        <v>619</v>
      </c>
      <c r="V117" s="1" t="s">
        <v>916</v>
      </c>
      <c r="W117" s="1" t="s">
        <v>1884</v>
      </c>
    </row>
    <row r="118" spans="2:23" ht="12.75" customHeight="1" x14ac:dyDescent="0.2">
      <c r="B118" s="78" t="s">
        <v>1759</v>
      </c>
      <c r="C118" s="498" t="s">
        <v>938</v>
      </c>
      <c r="D118" s="498" t="s">
        <v>564</v>
      </c>
      <c r="E118" s="79" t="s">
        <v>649</v>
      </c>
      <c r="F118" s="80" t="s">
        <v>782</v>
      </c>
      <c r="G118" s="80" t="s">
        <v>1760</v>
      </c>
      <c r="H118" s="80" t="s">
        <v>619</v>
      </c>
      <c r="I118" s="80" t="s">
        <v>916</v>
      </c>
      <c r="J118" s="504" t="s">
        <v>1884</v>
      </c>
      <c r="O118" s="1" t="s">
        <v>939</v>
      </c>
      <c r="P118" s="1" t="s">
        <v>925</v>
      </c>
      <c r="Q118" s="1" t="s">
        <v>876</v>
      </c>
      <c r="R118" s="1" t="s">
        <v>940</v>
      </c>
      <c r="S118" s="1" t="s">
        <v>941</v>
      </c>
      <c r="T118" s="1" t="s">
        <v>1761</v>
      </c>
      <c r="U118" s="1" t="s">
        <v>833</v>
      </c>
      <c r="V118" s="1" t="s">
        <v>896</v>
      </c>
      <c r="W118" s="1" t="s">
        <v>1885</v>
      </c>
    </row>
    <row r="119" spans="2:23" ht="12.75" customHeight="1" x14ac:dyDescent="0.2">
      <c r="B119" s="78" t="s">
        <v>939</v>
      </c>
      <c r="C119" s="498" t="s">
        <v>925</v>
      </c>
      <c r="D119" s="498" t="s">
        <v>876</v>
      </c>
      <c r="E119" s="79" t="s">
        <v>940</v>
      </c>
      <c r="F119" s="80" t="s">
        <v>941</v>
      </c>
      <c r="G119" s="80" t="s">
        <v>1761</v>
      </c>
      <c r="H119" s="80" t="s">
        <v>833</v>
      </c>
      <c r="I119" s="80" t="s">
        <v>896</v>
      </c>
      <c r="J119" s="504" t="s">
        <v>1885</v>
      </c>
      <c r="O119" s="1" t="s">
        <v>942</v>
      </c>
      <c r="P119" s="1" t="s">
        <v>943</v>
      </c>
      <c r="Q119" s="1" t="s">
        <v>591</v>
      </c>
      <c r="R119" s="1" t="s">
        <v>944</v>
      </c>
      <c r="S119" s="1" t="s">
        <v>709</v>
      </c>
      <c r="T119" s="1" t="s">
        <v>1762</v>
      </c>
      <c r="U119" s="1" t="s">
        <v>945</v>
      </c>
      <c r="V119" s="1" t="s">
        <v>907</v>
      </c>
      <c r="W119" s="1" t="s">
        <v>1886</v>
      </c>
    </row>
    <row r="120" spans="2:23" ht="12.75" customHeight="1" x14ac:dyDescent="0.2">
      <c r="B120" s="78" t="s">
        <v>942</v>
      </c>
      <c r="C120" s="498" t="s">
        <v>943</v>
      </c>
      <c r="D120" s="498" t="s">
        <v>591</v>
      </c>
      <c r="E120" s="79" t="s">
        <v>944</v>
      </c>
      <c r="F120" s="80" t="s">
        <v>709</v>
      </c>
      <c r="G120" s="80" t="s">
        <v>1762</v>
      </c>
      <c r="H120" s="80" t="s">
        <v>945</v>
      </c>
      <c r="I120" s="80" t="s">
        <v>907</v>
      </c>
      <c r="J120" s="504" t="s">
        <v>1886</v>
      </c>
      <c r="O120" s="1" t="s">
        <v>946</v>
      </c>
      <c r="P120" s="1" t="s">
        <v>947</v>
      </c>
      <c r="Q120" s="1" t="s">
        <v>948</v>
      </c>
      <c r="R120" s="1" t="s">
        <v>819</v>
      </c>
      <c r="S120" s="1" t="s">
        <v>602</v>
      </c>
      <c r="T120" s="1" t="s">
        <v>1763</v>
      </c>
      <c r="U120" s="1" t="s">
        <v>664</v>
      </c>
      <c r="V120" s="1" t="s">
        <v>949</v>
      </c>
      <c r="W120" s="1" t="s">
        <v>1887</v>
      </c>
    </row>
    <row r="121" spans="2:23" ht="12.75" customHeight="1" x14ac:dyDescent="0.2">
      <c r="B121" s="78" t="s">
        <v>946</v>
      </c>
      <c r="C121" s="498" t="s">
        <v>947</v>
      </c>
      <c r="D121" s="498" t="s">
        <v>948</v>
      </c>
      <c r="E121" s="79" t="s">
        <v>819</v>
      </c>
      <c r="F121" s="80" t="s">
        <v>602</v>
      </c>
      <c r="G121" s="80" t="s">
        <v>1763</v>
      </c>
      <c r="H121" s="80" t="s">
        <v>664</v>
      </c>
      <c r="I121" s="80" t="s">
        <v>949</v>
      </c>
      <c r="J121" s="504" t="s">
        <v>1887</v>
      </c>
      <c r="O121" s="1" t="s">
        <v>1758</v>
      </c>
    </row>
    <row r="122" spans="2:23" ht="12.75" customHeight="1" x14ac:dyDescent="0.2">
      <c r="B122" s="75" t="s">
        <v>950</v>
      </c>
      <c r="C122" s="81"/>
      <c r="D122" s="81"/>
      <c r="E122" s="81"/>
      <c r="F122" s="81"/>
      <c r="G122" s="81"/>
      <c r="H122" s="81"/>
      <c r="I122" s="81"/>
      <c r="J122" s="506"/>
      <c r="O122" s="1" t="s">
        <v>950</v>
      </c>
    </row>
    <row r="123" spans="2:23" ht="12.75" customHeight="1" x14ac:dyDescent="0.2">
      <c r="B123" s="78" t="s">
        <v>1764</v>
      </c>
      <c r="C123" s="498" t="s">
        <v>982</v>
      </c>
      <c r="D123" s="498" t="s">
        <v>982</v>
      </c>
      <c r="E123" s="498" t="s">
        <v>982</v>
      </c>
      <c r="F123" s="498" t="s">
        <v>982</v>
      </c>
      <c r="G123" s="498" t="s">
        <v>982</v>
      </c>
      <c r="H123" s="498" t="s">
        <v>982</v>
      </c>
      <c r="I123" s="498" t="s">
        <v>982</v>
      </c>
      <c r="J123" s="504" t="s">
        <v>1888</v>
      </c>
      <c r="O123" s="1" t="s">
        <v>1764</v>
      </c>
      <c r="P123" s="1" t="s">
        <v>982</v>
      </c>
      <c r="Q123" s="1" t="s">
        <v>982</v>
      </c>
      <c r="R123" s="1" t="s">
        <v>982</v>
      </c>
      <c r="S123" s="1" t="s">
        <v>982</v>
      </c>
      <c r="T123" s="1" t="s">
        <v>982</v>
      </c>
      <c r="U123" s="1" t="s">
        <v>982</v>
      </c>
      <c r="V123" s="1" t="s">
        <v>982</v>
      </c>
      <c r="W123" s="1" t="s">
        <v>1888</v>
      </c>
    </row>
    <row r="124" spans="2:23" ht="12.75" customHeight="1" x14ac:dyDescent="0.2">
      <c r="B124" s="78" t="s">
        <v>955</v>
      </c>
      <c r="C124" s="498" t="s">
        <v>956</v>
      </c>
      <c r="D124" s="498" t="s">
        <v>749</v>
      </c>
      <c r="E124" s="79" t="s">
        <v>579</v>
      </c>
      <c r="F124" s="80" t="s">
        <v>580</v>
      </c>
      <c r="G124" s="80" t="s">
        <v>1765</v>
      </c>
      <c r="H124" s="80" t="s">
        <v>957</v>
      </c>
      <c r="I124" s="80" t="s">
        <v>949</v>
      </c>
      <c r="J124" s="504" t="s">
        <v>1889</v>
      </c>
      <c r="O124" s="1" t="s">
        <v>955</v>
      </c>
      <c r="P124" s="1" t="s">
        <v>956</v>
      </c>
      <c r="Q124" s="1" t="s">
        <v>749</v>
      </c>
      <c r="R124" s="1" t="s">
        <v>579</v>
      </c>
      <c r="S124" s="1" t="s">
        <v>580</v>
      </c>
      <c r="T124" s="1" t="s">
        <v>1765</v>
      </c>
      <c r="U124" s="1" t="s">
        <v>957</v>
      </c>
      <c r="V124" s="1" t="s">
        <v>949</v>
      </c>
      <c r="W124" s="1" t="s">
        <v>1889</v>
      </c>
    </row>
    <row r="125" spans="2:23" ht="12.75" customHeight="1" x14ac:dyDescent="0.2">
      <c r="B125" s="78" t="s">
        <v>958</v>
      </c>
      <c r="C125" s="498" t="s">
        <v>959</v>
      </c>
      <c r="D125" s="498" t="s">
        <v>960</v>
      </c>
      <c r="E125" s="79" t="s">
        <v>961</v>
      </c>
      <c r="F125" s="80" t="s">
        <v>953</v>
      </c>
      <c r="G125" s="80" t="s">
        <v>1766</v>
      </c>
      <c r="H125" s="80" t="s">
        <v>581</v>
      </c>
      <c r="I125" s="80" t="s">
        <v>949</v>
      </c>
      <c r="J125" s="504" t="s">
        <v>1890</v>
      </c>
      <c r="O125" s="1" t="s">
        <v>958</v>
      </c>
      <c r="P125" s="1" t="s">
        <v>959</v>
      </c>
      <c r="Q125" s="1" t="s">
        <v>960</v>
      </c>
      <c r="R125" s="1" t="s">
        <v>961</v>
      </c>
      <c r="S125" s="1" t="s">
        <v>953</v>
      </c>
      <c r="T125" s="1" t="s">
        <v>1766</v>
      </c>
      <c r="U125" s="1" t="s">
        <v>581</v>
      </c>
      <c r="V125" s="1" t="s">
        <v>949</v>
      </c>
      <c r="W125" s="1" t="s">
        <v>1890</v>
      </c>
    </row>
    <row r="126" spans="2:23" ht="12.75" customHeight="1" x14ac:dyDescent="0.2">
      <c r="B126" s="78" t="s">
        <v>962</v>
      </c>
      <c r="C126" s="498" t="s">
        <v>963</v>
      </c>
      <c r="D126" s="498" t="s">
        <v>964</v>
      </c>
      <c r="E126" s="79" t="s">
        <v>889</v>
      </c>
      <c r="F126" s="80" t="s">
        <v>965</v>
      </c>
      <c r="G126" s="80" t="s">
        <v>1767</v>
      </c>
      <c r="H126" s="80" t="s">
        <v>937</v>
      </c>
      <c r="I126" s="80" t="s">
        <v>753</v>
      </c>
      <c r="J126" s="504" t="s">
        <v>1891</v>
      </c>
      <c r="O126" s="1" t="s">
        <v>962</v>
      </c>
      <c r="P126" s="1" t="s">
        <v>963</v>
      </c>
      <c r="Q126" s="1" t="s">
        <v>964</v>
      </c>
      <c r="R126" s="1" t="s">
        <v>889</v>
      </c>
      <c r="S126" s="1" t="s">
        <v>965</v>
      </c>
      <c r="T126" s="1" t="s">
        <v>1767</v>
      </c>
      <c r="U126" s="1" t="s">
        <v>937</v>
      </c>
      <c r="V126" s="1" t="s">
        <v>753</v>
      </c>
      <c r="W126" s="1" t="s">
        <v>1891</v>
      </c>
    </row>
    <row r="127" spans="2:23" ht="12.75" customHeight="1" x14ac:dyDescent="0.2">
      <c r="B127" s="78" t="s">
        <v>966</v>
      </c>
      <c r="C127" s="498" t="s">
        <v>887</v>
      </c>
      <c r="D127" s="498" t="s">
        <v>571</v>
      </c>
      <c r="E127" s="79" t="s">
        <v>967</v>
      </c>
      <c r="F127" s="80" t="s">
        <v>602</v>
      </c>
      <c r="G127" s="80" t="s">
        <v>1768</v>
      </c>
      <c r="H127" s="80" t="s">
        <v>581</v>
      </c>
      <c r="I127" s="80" t="s">
        <v>907</v>
      </c>
      <c r="J127" s="504" t="s">
        <v>1892</v>
      </c>
      <c r="O127" s="1" t="s">
        <v>966</v>
      </c>
      <c r="P127" s="1" t="s">
        <v>887</v>
      </c>
      <c r="Q127" s="1" t="s">
        <v>571</v>
      </c>
      <c r="R127" s="1" t="s">
        <v>967</v>
      </c>
      <c r="S127" s="1" t="s">
        <v>602</v>
      </c>
      <c r="T127" s="1" t="s">
        <v>1768</v>
      </c>
      <c r="U127" s="1" t="s">
        <v>581</v>
      </c>
      <c r="V127" s="1" t="s">
        <v>907</v>
      </c>
      <c r="W127" s="1" t="s">
        <v>1892</v>
      </c>
    </row>
    <row r="128" spans="2:23" ht="12.75" customHeight="1" x14ac:dyDescent="0.2">
      <c r="B128" s="78" t="s">
        <v>968</v>
      </c>
      <c r="C128" s="498" t="s">
        <v>604</v>
      </c>
      <c r="D128" s="498" t="s">
        <v>648</v>
      </c>
      <c r="E128" s="79" t="s">
        <v>746</v>
      </c>
      <c r="F128" s="80" t="s">
        <v>682</v>
      </c>
      <c r="G128" s="80" t="s">
        <v>1769</v>
      </c>
      <c r="H128" s="80" t="s">
        <v>581</v>
      </c>
      <c r="I128" s="80" t="s">
        <v>575</v>
      </c>
      <c r="J128" s="504" t="s">
        <v>1893</v>
      </c>
      <c r="O128" s="1" t="s">
        <v>968</v>
      </c>
      <c r="P128" s="1" t="s">
        <v>604</v>
      </c>
      <c r="Q128" s="1" t="s">
        <v>648</v>
      </c>
      <c r="R128" s="1" t="s">
        <v>746</v>
      </c>
      <c r="S128" s="1" t="s">
        <v>682</v>
      </c>
      <c r="T128" s="1" t="s">
        <v>1769</v>
      </c>
      <c r="U128" s="1" t="s">
        <v>581</v>
      </c>
      <c r="V128" s="1" t="s">
        <v>575</v>
      </c>
      <c r="W128" s="1" t="s">
        <v>1893</v>
      </c>
    </row>
    <row r="129" spans="2:23" ht="12.75" customHeight="1" x14ac:dyDescent="0.2">
      <c r="B129" s="78" t="s">
        <v>969</v>
      </c>
      <c r="C129" s="498" t="s">
        <v>970</v>
      </c>
      <c r="D129" s="498" t="s">
        <v>686</v>
      </c>
      <c r="E129" s="79" t="s">
        <v>746</v>
      </c>
      <c r="F129" s="80" t="s">
        <v>650</v>
      </c>
      <c r="G129" s="80" t="s">
        <v>1656</v>
      </c>
      <c r="H129" s="80" t="s">
        <v>644</v>
      </c>
      <c r="I129" s="80" t="s">
        <v>916</v>
      </c>
      <c r="J129" s="504" t="s">
        <v>1894</v>
      </c>
      <c r="O129" s="1" t="s">
        <v>969</v>
      </c>
      <c r="P129" s="1" t="s">
        <v>970</v>
      </c>
      <c r="Q129" s="1" t="s">
        <v>686</v>
      </c>
      <c r="R129" s="1" t="s">
        <v>746</v>
      </c>
      <c r="S129" s="1" t="s">
        <v>650</v>
      </c>
      <c r="T129" s="1" t="s">
        <v>1656</v>
      </c>
      <c r="U129" s="1" t="s">
        <v>644</v>
      </c>
      <c r="V129" s="1" t="s">
        <v>916</v>
      </c>
      <c r="W129" s="1" t="s">
        <v>1894</v>
      </c>
    </row>
    <row r="130" spans="2:23" ht="12.75" customHeight="1" x14ac:dyDescent="0.2">
      <c r="B130" s="78" t="s">
        <v>971</v>
      </c>
      <c r="C130" s="498" t="s">
        <v>972</v>
      </c>
      <c r="D130" s="498" t="s">
        <v>658</v>
      </c>
      <c r="E130" s="79" t="s">
        <v>746</v>
      </c>
      <c r="F130" s="80" t="s">
        <v>769</v>
      </c>
      <c r="G130" s="80" t="s">
        <v>1770</v>
      </c>
      <c r="H130" s="80" t="s">
        <v>973</v>
      </c>
      <c r="I130" s="80" t="s">
        <v>715</v>
      </c>
      <c r="J130" s="504" t="s">
        <v>1895</v>
      </c>
      <c r="O130" s="1" t="s">
        <v>971</v>
      </c>
      <c r="P130" s="1" t="s">
        <v>972</v>
      </c>
      <c r="Q130" s="1" t="s">
        <v>658</v>
      </c>
      <c r="R130" s="1" t="s">
        <v>746</v>
      </c>
      <c r="S130" s="1" t="s">
        <v>769</v>
      </c>
      <c r="T130" s="1" t="s">
        <v>1770</v>
      </c>
      <c r="U130" s="1" t="s">
        <v>973</v>
      </c>
      <c r="V130" s="1" t="s">
        <v>715</v>
      </c>
      <c r="W130" s="1" t="s">
        <v>1895</v>
      </c>
    </row>
    <row r="131" spans="2:23" ht="12.75" customHeight="1" x14ac:dyDescent="0.2">
      <c r="B131" s="78" t="s">
        <v>974</v>
      </c>
      <c r="C131" s="498" t="s">
        <v>975</v>
      </c>
      <c r="D131" s="498" t="s">
        <v>976</v>
      </c>
      <c r="E131" s="80" t="s">
        <v>977</v>
      </c>
      <c r="F131" s="80" t="s">
        <v>978</v>
      </c>
      <c r="G131" s="80" t="s">
        <v>1771</v>
      </c>
      <c r="H131" s="80" t="s">
        <v>979</v>
      </c>
      <c r="I131" s="80" t="s">
        <v>728</v>
      </c>
      <c r="J131" s="504" t="s">
        <v>1896</v>
      </c>
      <c r="O131" s="1" t="s">
        <v>974</v>
      </c>
      <c r="P131" s="1" t="s">
        <v>975</v>
      </c>
      <c r="Q131" s="1" t="s">
        <v>976</v>
      </c>
      <c r="R131" s="1" t="s">
        <v>977</v>
      </c>
      <c r="S131" s="1" t="s">
        <v>978</v>
      </c>
      <c r="T131" s="1" t="s">
        <v>1771</v>
      </c>
      <c r="U131" s="1" t="s">
        <v>979</v>
      </c>
      <c r="V131" s="1" t="s">
        <v>728</v>
      </c>
      <c r="W131" s="1" t="s">
        <v>1896</v>
      </c>
    </row>
    <row r="132" spans="2:23" ht="12.75" customHeight="1" x14ac:dyDescent="0.2">
      <c r="B132" s="75" t="s">
        <v>980</v>
      </c>
      <c r="C132" s="81"/>
      <c r="D132" s="81"/>
      <c r="E132" s="81"/>
      <c r="F132" s="81"/>
      <c r="G132" s="81"/>
      <c r="H132" s="81"/>
      <c r="I132" s="81"/>
      <c r="J132" s="506"/>
      <c r="O132" s="1" t="s">
        <v>981</v>
      </c>
      <c r="P132" s="1" t="s">
        <v>982</v>
      </c>
      <c r="Q132" s="1" t="s">
        <v>982</v>
      </c>
      <c r="R132" s="1" t="s">
        <v>982</v>
      </c>
      <c r="S132" s="1" t="s">
        <v>982</v>
      </c>
      <c r="T132" s="1" t="s">
        <v>982</v>
      </c>
      <c r="U132" s="1" t="s">
        <v>982</v>
      </c>
      <c r="V132" s="1" t="s">
        <v>982</v>
      </c>
      <c r="W132" s="1" t="s">
        <v>1897</v>
      </c>
    </row>
    <row r="133" spans="2:23" ht="12.75" customHeight="1" x14ac:dyDescent="0.2">
      <c r="B133" s="78" t="s">
        <v>981</v>
      </c>
      <c r="C133" s="498" t="s">
        <v>982</v>
      </c>
      <c r="D133" s="498" t="s">
        <v>982</v>
      </c>
      <c r="E133" s="498" t="s">
        <v>982</v>
      </c>
      <c r="F133" s="498" t="s">
        <v>982</v>
      </c>
      <c r="G133" s="498" t="s">
        <v>982</v>
      </c>
      <c r="H133" s="498" t="s">
        <v>982</v>
      </c>
      <c r="I133" s="498" t="s">
        <v>982</v>
      </c>
      <c r="J133" s="504" t="s">
        <v>1897</v>
      </c>
      <c r="O133" s="1" t="s">
        <v>980</v>
      </c>
    </row>
    <row r="134" spans="2:23" ht="12.75" customHeight="1" x14ac:dyDescent="0.2">
      <c r="B134" s="78" t="s">
        <v>983</v>
      </c>
      <c r="C134" s="498" t="s">
        <v>982</v>
      </c>
      <c r="D134" s="498" t="s">
        <v>982</v>
      </c>
      <c r="E134" s="498" t="s">
        <v>982</v>
      </c>
      <c r="F134" s="498" t="s">
        <v>982</v>
      </c>
      <c r="G134" s="498" t="s">
        <v>982</v>
      </c>
      <c r="H134" s="498" t="s">
        <v>982</v>
      </c>
      <c r="I134" s="498" t="s">
        <v>982</v>
      </c>
      <c r="J134" s="504" t="s">
        <v>1898</v>
      </c>
      <c r="O134" s="1" t="s">
        <v>983</v>
      </c>
      <c r="P134" s="1" t="s">
        <v>982</v>
      </c>
      <c r="Q134" s="1" t="s">
        <v>982</v>
      </c>
      <c r="R134" s="1" t="s">
        <v>982</v>
      </c>
      <c r="S134" s="1" t="s">
        <v>982</v>
      </c>
      <c r="T134" s="1" t="s">
        <v>982</v>
      </c>
      <c r="U134" s="1" t="s">
        <v>982</v>
      </c>
      <c r="V134" s="1" t="s">
        <v>982</v>
      </c>
      <c r="W134" s="1" t="s">
        <v>1898</v>
      </c>
    </row>
    <row r="135" spans="2:23" ht="12.75" customHeight="1" x14ac:dyDescent="0.2">
      <c r="B135" s="78" t="s">
        <v>984</v>
      </c>
      <c r="C135" s="498" t="s">
        <v>982</v>
      </c>
      <c r="D135" s="498" t="s">
        <v>982</v>
      </c>
      <c r="E135" s="498" t="s">
        <v>982</v>
      </c>
      <c r="F135" s="498" t="s">
        <v>982</v>
      </c>
      <c r="G135" s="498" t="s">
        <v>982</v>
      </c>
      <c r="H135" s="498" t="s">
        <v>982</v>
      </c>
      <c r="I135" s="498" t="s">
        <v>982</v>
      </c>
      <c r="J135" s="504" t="s">
        <v>1899</v>
      </c>
      <c r="O135" s="1" t="s">
        <v>984</v>
      </c>
      <c r="P135" s="1" t="s">
        <v>982</v>
      </c>
      <c r="Q135" s="1" t="s">
        <v>982</v>
      </c>
      <c r="R135" s="1" t="s">
        <v>982</v>
      </c>
      <c r="S135" s="1" t="s">
        <v>982</v>
      </c>
      <c r="T135" s="1" t="s">
        <v>982</v>
      </c>
      <c r="U135" s="1" t="s">
        <v>982</v>
      </c>
      <c r="V135" s="1" t="s">
        <v>982</v>
      </c>
      <c r="W135" s="1" t="s">
        <v>1899</v>
      </c>
    </row>
    <row r="136" spans="2:23" ht="12.75" customHeight="1" x14ac:dyDescent="0.2">
      <c r="B136" s="78" t="s">
        <v>1772</v>
      </c>
      <c r="C136" s="498" t="s">
        <v>929</v>
      </c>
      <c r="D136" s="498" t="s">
        <v>1773</v>
      </c>
      <c r="E136" s="498" t="s">
        <v>1774</v>
      </c>
      <c r="F136" s="80" t="s">
        <v>890</v>
      </c>
      <c r="G136" s="80" t="s">
        <v>1775</v>
      </c>
      <c r="H136" s="80" t="s">
        <v>560</v>
      </c>
      <c r="I136" s="80" t="s">
        <v>949</v>
      </c>
      <c r="J136" s="504" t="s">
        <v>1900</v>
      </c>
      <c r="O136" s="1" t="s">
        <v>1772</v>
      </c>
      <c r="P136" s="1" t="s">
        <v>929</v>
      </c>
      <c r="Q136" s="1" t="s">
        <v>1773</v>
      </c>
      <c r="R136" s="1" t="s">
        <v>1774</v>
      </c>
      <c r="S136" s="1" t="s">
        <v>890</v>
      </c>
      <c r="T136" s="1" t="s">
        <v>1775</v>
      </c>
      <c r="U136" s="1" t="s">
        <v>560</v>
      </c>
      <c r="V136" s="1" t="s">
        <v>949</v>
      </c>
      <c r="W136" s="1" t="s">
        <v>1900</v>
      </c>
    </row>
    <row r="137" spans="2:23" ht="12.75" customHeight="1" x14ac:dyDescent="0.2">
      <c r="B137" s="75" t="s">
        <v>985</v>
      </c>
      <c r="C137" s="81"/>
      <c r="D137" s="81"/>
      <c r="E137" s="81"/>
      <c r="F137" s="81"/>
      <c r="G137" s="81"/>
      <c r="H137" s="81"/>
      <c r="I137" s="81"/>
      <c r="J137" s="506"/>
      <c r="O137" s="1" t="s">
        <v>986</v>
      </c>
      <c r="P137" s="1" t="s">
        <v>982</v>
      </c>
      <c r="Q137" s="1" t="s">
        <v>982</v>
      </c>
      <c r="R137" s="1" t="s">
        <v>982</v>
      </c>
      <c r="S137" s="1" t="s">
        <v>982</v>
      </c>
      <c r="T137" s="1" t="s">
        <v>982</v>
      </c>
      <c r="U137" s="1" t="s">
        <v>982</v>
      </c>
      <c r="V137" s="1" t="s">
        <v>982</v>
      </c>
      <c r="W137" s="1" t="s">
        <v>1901</v>
      </c>
    </row>
    <row r="138" spans="2:23" ht="12.75" customHeight="1" x14ac:dyDescent="0.2">
      <c r="B138" s="78" t="s">
        <v>986</v>
      </c>
      <c r="C138" s="498" t="s">
        <v>982</v>
      </c>
      <c r="D138" s="498" t="s">
        <v>982</v>
      </c>
      <c r="E138" s="79" t="s">
        <v>982</v>
      </c>
      <c r="F138" s="80" t="s">
        <v>982</v>
      </c>
      <c r="G138" s="80" t="s">
        <v>982</v>
      </c>
      <c r="H138" s="80" t="s">
        <v>982</v>
      </c>
      <c r="I138" s="80" t="s">
        <v>982</v>
      </c>
      <c r="J138" s="504" t="s">
        <v>1901</v>
      </c>
      <c r="O138" s="1" t="s">
        <v>987</v>
      </c>
      <c r="P138" s="1" t="s">
        <v>982</v>
      </c>
      <c r="Q138" s="1" t="s">
        <v>982</v>
      </c>
      <c r="R138" s="1" t="s">
        <v>982</v>
      </c>
      <c r="S138" s="1" t="s">
        <v>982</v>
      </c>
      <c r="T138" s="1" t="s">
        <v>982</v>
      </c>
      <c r="U138" s="1" t="s">
        <v>982</v>
      </c>
      <c r="V138" s="1" t="s">
        <v>982</v>
      </c>
      <c r="W138" s="1" t="s">
        <v>1902</v>
      </c>
    </row>
    <row r="139" spans="2:23" ht="12.75" customHeight="1" x14ac:dyDescent="0.2">
      <c r="B139" s="78" t="s">
        <v>987</v>
      </c>
      <c r="C139" s="498" t="s">
        <v>982</v>
      </c>
      <c r="D139" s="498" t="s">
        <v>982</v>
      </c>
      <c r="E139" s="79" t="s">
        <v>982</v>
      </c>
      <c r="F139" s="80" t="s">
        <v>982</v>
      </c>
      <c r="G139" s="80" t="s">
        <v>982</v>
      </c>
      <c r="H139" s="80" t="s">
        <v>982</v>
      </c>
      <c r="I139" s="80" t="s">
        <v>982</v>
      </c>
      <c r="J139" s="504" t="s">
        <v>1902</v>
      </c>
      <c r="O139" s="1" t="s">
        <v>988</v>
      </c>
      <c r="P139" s="1" t="s">
        <v>982</v>
      </c>
      <c r="Q139" s="1" t="s">
        <v>982</v>
      </c>
      <c r="R139" s="1" t="s">
        <v>982</v>
      </c>
      <c r="S139" s="1" t="s">
        <v>982</v>
      </c>
      <c r="T139" s="1" t="s">
        <v>982</v>
      </c>
      <c r="U139" s="1" t="s">
        <v>982</v>
      </c>
      <c r="V139" s="1" t="s">
        <v>982</v>
      </c>
      <c r="W139" s="1" t="s">
        <v>1903</v>
      </c>
    </row>
    <row r="140" spans="2:23" ht="12.75" customHeight="1" x14ac:dyDescent="0.2">
      <c r="B140" s="78" t="s">
        <v>988</v>
      </c>
      <c r="C140" s="498" t="s">
        <v>982</v>
      </c>
      <c r="D140" s="498" t="s">
        <v>982</v>
      </c>
      <c r="E140" s="79" t="s">
        <v>982</v>
      </c>
      <c r="F140" s="80" t="s">
        <v>982</v>
      </c>
      <c r="G140" s="80" t="s">
        <v>982</v>
      </c>
      <c r="H140" s="80" t="s">
        <v>982</v>
      </c>
      <c r="I140" s="80" t="s">
        <v>982</v>
      </c>
      <c r="J140" s="504" t="s">
        <v>1903</v>
      </c>
      <c r="O140" s="1" t="s">
        <v>1776</v>
      </c>
      <c r="P140" s="1" t="s">
        <v>1777</v>
      </c>
      <c r="Q140" s="1" t="s">
        <v>1778</v>
      </c>
      <c r="R140" s="1" t="s">
        <v>921</v>
      </c>
      <c r="S140" s="1" t="s">
        <v>1018</v>
      </c>
      <c r="T140" s="1" t="s">
        <v>1779</v>
      </c>
      <c r="U140" s="1" t="s">
        <v>1780</v>
      </c>
      <c r="V140" s="1" t="s">
        <v>949</v>
      </c>
      <c r="W140" s="1" t="s">
        <v>1904</v>
      </c>
    </row>
    <row r="141" spans="2:23" ht="12.75" customHeight="1" x14ac:dyDescent="0.2">
      <c r="B141" s="78" t="s">
        <v>1776</v>
      </c>
      <c r="C141" s="498" t="s">
        <v>1777</v>
      </c>
      <c r="D141" s="498" t="s">
        <v>1778</v>
      </c>
      <c r="E141" s="498" t="s">
        <v>921</v>
      </c>
      <c r="F141" s="80" t="s">
        <v>1018</v>
      </c>
      <c r="G141" s="80" t="s">
        <v>1779</v>
      </c>
      <c r="H141" s="80" t="s">
        <v>1780</v>
      </c>
      <c r="I141" s="80" t="s">
        <v>949</v>
      </c>
      <c r="J141" s="504" t="s">
        <v>1904</v>
      </c>
      <c r="O141" s="1" t="s">
        <v>985</v>
      </c>
    </row>
    <row r="142" spans="2:23" ht="12.75" customHeight="1" x14ac:dyDescent="0.2">
      <c r="B142" s="75" t="s">
        <v>989</v>
      </c>
      <c r="C142" s="81"/>
      <c r="D142" s="81"/>
      <c r="E142" s="81"/>
      <c r="F142" s="81"/>
      <c r="G142" s="81"/>
      <c r="H142" s="81"/>
      <c r="I142" s="81"/>
      <c r="J142" s="506"/>
      <c r="O142" s="1" t="s">
        <v>990</v>
      </c>
      <c r="P142" s="1" t="s">
        <v>982</v>
      </c>
      <c r="Q142" s="1" t="s">
        <v>982</v>
      </c>
      <c r="R142" s="1" t="s">
        <v>982</v>
      </c>
      <c r="S142" s="1" t="s">
        <v>982</v>
      </c>
      <c r="T142" s="1" t="s">
        <v>982</v>
      </c>
      <c r="U142" s="1" t="s">
        <v>982</v>
      </c>
      <c r="V142" s="1" t="s">
        <v>982</v>
      </c>
      <c r="W142" s="1" t="s">
        <v>1905</v>
      </c>
    </row>
    <row r="143" spans="2:23" ht="12.75" customHeight="1" x14ac:dyDescent="0.2">
      <c r="B143" s="78" t="s">
        <v>990</v>
      </c>
      <c r="C143" s="498" t="s">
        <v>982</v>
      </c>
      <c r="D143" s="498" t="s">
        <v>982</v>
      </c>
      <c r="E143" s="79" t="s">
        <v>982</v>
      </c>
      <c r="F143" s="80" t="s">
        <v>982</v>
      </c>
      <c r="G143" s="80" t="s">
        <v>982</v>
      </c>
      <c r="H143" s="80" t="s">
        <v>982</v>
      </c>
      <c r="I143" s="80" t="s">
        <v>982</v>
      </c>
      <c r="J143" s="504" t="s">
        <v>1905</v>
      </c>
      <c r="O143" s="1" t="s">
        <v>991</v>
      </c>
      <c r="P143" s="1" t="s">
        <v>982</v>
      </c>
      <c r="Q143" s="1" t="s">
        <v>982</v>
      </c>
      <c r="R143" s="1" t="s">
        <v>982</v>
      </c>
      <c r="S143" s="1" t="s">
        <v>982</v>
      </c>
      <c r="T143" s="1" t="s">
        <v>982</v>
      </c>
      <c r="U143" s="1" t="s">
        <v>982</v>
      </c>
      <c r="V143" s="1" t="s">
        <v>982</v>
      </c>
      <c r="W143" s="1" t="s">
        <v>1906</v>
      </c>
    </row>
    <row r="144" spans="2:23" ht="12.75" customHeight="1" x14ac:dyDescent="0.2">
      <c r="B144" s="78" t="s">
        <v>991</v>
      </c>
      <c r="C144" s="498" t="s">
        <v>982</v>
      </c>
      <c r="D144" s="498" t="s">
        <v>982</v>
      </c>
      <c r="E144" s="79" t="s">
        <v>982</v>
      </c>
      <c r="F144" s="80" t="s">
        <v>982</v>
      </c>
      <c r="G144" s="80" t="s">
        <v>982</v>
      </c>
      <c r="H144" s="80" t="s">
        <v>982</v>
      </c>
      <c r="I144" s="80" t="s">
        <v>982</v>
      </c>
      <c r="J144" s="504" t="s">
        <v>1906</v>
      </c>
      <c r="O144" s="1" t="s">
        <v>992</v>
      </c>
      <c r="P144" s="1" t="s">
        <v>982</v>
      </c>
      <c r="Q144" s="1" t="s">
        <v>982</v>
      </c>
      <c r="R144" s="1" t="s">
        <v>982</v>
      </c>
      <c r="S144" s="1" t="s">
        <v>982</v>
      </c>
      <c r="T144" s="1" t="s">
        <v>982</v>
      </c>
      <c r="U144" s="1" t="s">
        <v>982</v>
      </c>
      <c r="V144" s="1" t="s">
        <v>982</v>
      </c>
      <c r="W144" s="1" t="s">
        <v>1907</v>
      </c>
    </row>
    <row r="145" spans="2:23" ht="12.75" customHeight="1" x14ac:dyDescent="0.2">
      <c r="B145" s="78" t="s">
        <v>992</v>
      </c>
      <c r="C145" s="498" t="s">
        <v>982</v>
      </c>
      <c r="D145" s="498" t="s">
        <v>982</v>
      </c>
      <c r="E145" s="79" t="s">
        <v>982</v>
      </c>
      <c r="F145" s="80" t="s">
        <v>982</v>
      </c>
      <c r="G145" s="80" t="s">
        <v>982</v>
      </c>
      <c r="H145" s="80" t="s">
        <v>982</v>
      </c>
      <c r="I145" s="80" t="s">
        <v>982</v>
      </c>
      <c r="J145" s="504" t="s">
        <v>1907</v>
      </c>
      <c r="O145" s="1" t="s">
        <v>1781</v>
      </c>
      <c r="P145" s="1" t="s">
        <v>982</v>
      </c>
      <c r="Q145" s="1" t="s">
        <v>982</v>
      </c>
      <c r="R145" s="1" t="s">
        <v>982</v>
      </c>
      <c r="S145" s="1" t="s">
        <v>982</v>
      </c>
      <c r="T145" s="1" t="s">
        <v>982</v>
      </c>
      <c r="U145" s="1" t="s">
        <v>982</v>
      </c>
      <c r="V145" s="1" t="s">
        <v>982</v>
      </c>
      <c r="W145" s="1" t="s">
        <v>1908</v>
      </c>
    </row>
    <row r="146" spans="2:23" ht="12.75" customHeight="1" x14ac:dyDescent="0.2">
      <c r="B146" s="78" t="s">
        <v>1781</v>
      </c>
      <c r="C146" s="498" t="s">
        <v>982</v>
      </c>
      <c r="D146" s="498" t="s">
        <v>982</v>
      </c>
      <c r="E146" s="79" t="s">
        <v>982</v>
      </c>
      <c r="F146" s="80" t="s">
        <v>982</v>
      </c>
      <c r="G146" s="80" t="s">
        <v>982</v>
      </c>
      <c r="H146" s="80" t="s">
        <v>982</v>
      </c>
      <c r="I146" s="80" t="s">
        <v>982</v>
      </c>
      <c r="J146" s="504" t="s">
        <v>1908</v>
      </c>
      <c r="O146" s="1" t="s">
        <v>989</v>
      </c>
    </row>
    <row r="147" spans="2:23" ht="12.75" customHeight="1" x14ac:dyDescent="0.2">
      <c r="B147" s="75" t="s">
        <v>993</v>
      </c>
      <c r="C147" s="81"/>
      <c r="D147" s="81"/>
      <c r="E147" s="81"/>
      <c r="F147" s="81"/>
      <c r="G147" s="81"/>
      <c r="H147" s="81"/>
      <c r="I147" s="81"/>
      <c r="J147" s="506"/>
      <c r="O147" s="1" t="s">
        <v>994</v>
      </c>
      <c r="P147" s="1" t="s">
        <v>982</v>
      </c>
      <c r="Q147" s="1" t="s">
        <v>982</v>
      </c>
      <c r="R147" s="1" t="s">
        <v>982</v>
      </c>
      <c r="S147" s="1" t="s">
        <v>982</v>
      </c>
      <c r="T147" s="1" t="s">
        <v>982</v>
      </c>
      <c r="U147" s="1" t="s">
        <v>982</v>
      </c>
      <c r="V147" s="1" t="s">
        <v>982</v>
      </c>
      <c r="W147" s="1" t="s">
        <v>1909</v>
      </c>
    </row>
    <row r="148" spans="2:23" ht="12.75" customHeight="1" x14ac:dyDescent="0.2">
      <c r="B148" s="78" t="s">
        <v>994</v>
      </c>
      <c r="C148" s="498" t="s">
        <v>982</v>
      </c>
      <c r="D148" s="498" t="s">
        <v>982</v>
      </c>
      <c r="E148" s="79" t="s">
        <v>982</v>
      </c>
      <c r="F148" s="80" t="s">
        <v>982</v>
      </c>
      <c r="G148" s="80" t="s">
        <v>982</v>
      </c>
      <c r="H148" s="80" t="s">
        <v>982</v>
      </c>
      <c r="I148" s="80" t="s">
        <v>982</v>
      </c>
      <c r="J148" s="504" t="s">
        <v>1909</v>
      </c>
      <c r="O148" s="1" t="s">
        <v>993</v>
      </c>
    </row>
    <row r="149" spans="2:23" ht="12.75" customHeight="1" x14ac:dyDescent="0.2">
      <c r="B149" s="78" t="s">
        <v>995</v>
      </c>
      <c r="C149" s="498" t="s">
        <v>982</v>
      </c>
      <c r="D149" s="498" t="s">
        <v>982</v>
      </c>
      <c r="E149" s="79" t="s">
        <v>982</v>
      </c>
      <c r="F149" s="80" t="s">
        <v>982</v>
      </c>
      <c r="G149" s="80" t="s">
        <v>982</v>
      </c>
      <c r="H149" s="80" t="s">
        <v>982</v>
      </c>
      <c r="I149" s="80" t="s">
        <v>982</v>
      </c>
      <c r="J149" s="504" t="s">
        <v>1910</v>
      </c>
      <c r="O149" s="1" t="s">
        <v>995</v>
      </c>
      <c r="P149" s="1" t="s">
        <v>982</v>
      </c>
      <c r="Q149" s="1" t="s">
        <v>982</v>
      </c>
      <c r="R149" s="1" t="s">
        <v>982</v>
      </c>
      <c r="S149" s="1" t="s">
        <v>982</v>
      </c>
      <c r="T149" s="1" t="s">
        <v>982</v>
      </c>
      <c r="U149" s="1" t="s">
        <v>982</v>
      </c>
      <c r="V149" s="1" t="s">
        <v>982</v>
      </c>
      <c r="W149" s="1" t="s">
        <v>1910</v>
      </c>
    </row>
    <row r="150" spans="2:23" ht="12.75" customHeight="1" x14ac:dyDescent="0.2">
      <c r="B150" s="75" t="s">
        <v>996</v>
      </c>
      <c r="C150" s="81"/>
      <c r="D150" s="81"/>
      <c r="E150" s="81"/>
      <c r="F150" s="81"/>
      <c r="G150" s="81"/>
      <c r="H150" s="81"/>
      <c r="I150" s="81"/>
      <c r="J150" s="506"/>
      <c r="O150" s="1" t="s">
        <v>997</v>
      </c>
      <c r="P150" s="1" t="s">
        <v>982</v>
      </c>
      <c r="Q150" s="1" t="s">
        <v>982</v>
      </c>
      <c r="R150" s="1" t="s">
        <v>982</v>
      </c>
      <c r="S150" s="1" t="s">
        <v>982</v>
      </c>
      <c r="T150" s="1" t="s">
        <v>982</v>
      </c>
      <c r="U150" s="1" t="s">
        <v>982</v>
      </c>
      <c r="V150" s="1" t="s">
        <v>982</v>
      </c>
      <c r="W150" s="1" t="s">
        <v>1911</v>
      </c>
    </row>
    <row r="151" spans="2:23" ht="12.75" customHeight="1" x14ac:dyDescent="0.2">
      <c r="B151" s="78" t="s">
        <v>997</v>
      </c>
      <c r="C151" s="498" t="s">
        <v>982</v>
      </c>
      <c r="D151" s="498" t="s">
        <v>982</v>
      </c>
      <c r="E151" s="79" t="s">
        <v>982</v>
      </c>
      <c r="F151" s="80" t="s">
        <v>982</v>
      </c>
      <c r="G151" s="80" t="s">
        <v>982</v>
      </c>
      <c r="H151" s="80" t="s">
        <v>982</v>
      </c>
      <c r="I151" s="80" t="s">
        <v>982</v>
      </c>
      <c r="J151" s="504" t="s">
        <v>1911</v>
      </c>
      <c r="O151" s="1" t="s">
        <v>998</v>
      </c>
      <c r="P151" s="1" t="s">
        <v>982</v>
      </c>
      <c r="Q151" s="1" t="s">
        <v>982</v>
      </c>
      <c r="R151" s="1" t="s">
        <v>982</v>
      </c>
      <c r="S151" s="1" t="s">
        <v>982</v>
      </c>
      <c r="T151" s="1" t="s">
        <v>982</v>
      </c>
      <c r="U151" s="1" t="s">
        <v>982</v>
      </c>
      <c r="V151" s="1" t="s">
        <v>982</v>
      </c>
      <c r="W151" s="1" t="s">
        <v>1912</v>
      </c>
    </row>
    <row r="152" spans="2:23" ht="12.75" customHeight="1" x14ac:dyDescent="0.2">
      <c r="B152" s="78" t="s">
        <v>998</v>
      </c>
      <c r="C152" s="498" t="s">
        <v>982</v>
      </c>
      <c r="D152" s="498" t="s">
        <v>982</v>
      </c>
      <c r="E152" s="79" t="s">
        <v>982</v>
      </c>
      <c r="F152" s="80" t="s">
        <v>982</v>
      </c>
      <c r="G152" s="80" t="s">
        <v>982</v>
      </c>
      <c r="H152" s="80" t="s">
        <v>982</v>
      </c>
      <c r="I152" s="80" t="s">
        <v>982</v>
      </c>
      <c r="J152" s="504" t="s">
        <v>1912</v>
      </c>
      <c r="O152" s="1" t="s">
        <v>996</v>
      </c>
    </row>
    <row r="153" spans="2:23" ht="12.75" customHeight="1" x14ac:dyDescent="0.2">
      <c r="B153" s="75" t="s">
        <v>999</v>
      </c>
      <c r="C153" s="81"/>
      <c r="D153" s="81"/>
      <c r="E153" s="81"/>
      <c r="F153" s="81"/>
      <c r="G153" s="81"/>
      <c r="H153" s="81"/>
      <c r="I153" s="81"/>
      <c r="J153" s="506"/>
      <c r="O153" s="1" t="s">
        <v>1000</v>
      </c>
      <c r="P153" s="1" t="s">
        <v>982</v>
      </c>
      <c r="Q153" s="1" t="s">
        <v>982</v>
      </c>
      <c r="R153" s="1" t="s">
        <v>982</v>
      </c>
      <c r="S153" s="1" t="s">
        <v>982</v>
      </c>
      <c r="T153" s="1" t="s">
        <v>982</v>
      </c>
      <c r="U153" s="1" t="s">
        <v>982</v>
      </c>
      <c r="V153" s="1" t="s">
        <v>982</v>
      </c>
      <c r="W153" s="1" t="s">
        <v>1913</v>
      </c>
    </row>
    <row r="154" spans="2:23" ht="12.75" customHeight="1" x14ac:dyDescent="0.2">
      <c r="B154" s="78" t="s">
        <v>1000</v>
      </c>
      <c r="C154" s="498" t="s">
        <v>982</v>
      </c>
      <c r="D154" s="498" t="s">
        <v>982</v>
      </c>
      <c r="E154" s="79" t="s">
        <v>982</v>
      </c>
      <c r="F154" s="80" t="s">
        <v>982</v>
      </c>
      <c r="G154" s="80" t="s">
        <v>982</v>
      </c>
      <c r="H154" s="80" t="s">
        <v>982</v>
      </c>
      <c r="I154" s="80" t="s">
        <v>982</v>
      </c>
      <c r="J154" s="504" t="s">
        <v>1913</v>
      </c>
      <c r="O154" s="1" t="s">
        <v>1001</v>
      </c>
      <c r="P154" s="1" t="s">
        <v>982</v>
      </c>
      <c r="Q154" s="1" t="s">
        <v>982</v>
      </c>
      <c r="R154" s="1" t="s">
        <v>982</v>
      </c>
      <c r="S154" s="1" t="s">
        <v>982</v>
      </c>
      <c r="T154" s="1" t="s">
        <v>982</v>
      </c>
      <c r="U154" s="1" t="s">
        <v>982</v>
      </c>
      <c r="V154" s="1" t="s">
        <v>982</v>
      </c>
      <c r="W154" s="1" t="s">
        <v>1914</v>
      </c>
    </row>
    <row r="155" spans="2:23" ht="12.75" customHeight="1" x14ac:dyDescent="0.2">
      <c r="B155" s="78" t="s">
        <v>1001</v>
      </c>
      <c r="C155" s="498" t="s">
        <v>982</v>
      </c>
      <c r="D155" s="498" t="s">
        <v>982</v>
      </c>
      <c r="E155" s="79" t="s">
        <v>982</v>
      </c>
      <c r="F155" s="80" t="s">
        <v>982</v>
      </c>
      <c r="G155" s="80" t="s">
        <v>982</v>
      </c>
      <c r="H155" s="80" t="s">
        <v>982</v>
      </c>
      <c r="I155" s="80" t="s">
        <v>982</v>
      </c>
      <c r="J155" s="504" t="s">
        <v>1914</v>
      </c>
      <c r="O155" s="1" t="s">
        <v>999</v>
      </c>
    </row>
    <row r="156" spans="2:23" ht="12.75" customHeight="1" x14ac:dyDescent="0.2">
      <c r="B156" s="75" t="s">
        <v>1002</v>
      </c>
      <c r="C156" s="81"/>
      <c r="D156" s="81"/>
      <c r="E156" s="81"/>
      <c r="F156" s="81"/>
      <c r="G156" s="81"/>
      <c r="H156" s="81"/>
      <c r="I156" s="81"/>
      <c r="J156" s="506"/>
      <c r="O156" s="1" t="s">
        <v>1782</v>
      </c>
      <c r="P156" s="1" t="s">
        <v>982</v>
      </c>
      <c r="Q156" s="1" t="s">
        <v>982</v>
      </c>
      <c r="R156" s="1" t="s">
        <v>982</v>
      </c>
      <c r="S156" s="1" t="s">
        <v>982</v>
      </c>
      <c r="T156" s="1" t="s">
        <v>982</v>
      </c>
      <c r="U156" s="1" t="s">
        <v>982</v>
      </c>
      <c r="V156" s="1" t="s">
        <v>982</v>
      </c>
      <c r="W156" s="1" t="s">
        <v>1915</v>
      </c>
    </row>
    <row r="157" spans="2:23" ht="12.75" customHeight="1" x14ac:dyDescent="0.2">
      <c r="B157" s="78" t="s">
        <v>1782</v>
      </c>
      <c r="C157" s="498" t="s">
        <v>982</v>
      </c>
      <c r="D157" s="498" t="s">
        <v>982</v>
      </c>
      <c r="E157" s="79" t="s">
        <v>982</v>
      </c>
      <c r="F157" s="80" t="s">
        <v>982</v>
      </c>
      <c r="G157" s="80" t="s">
        <v>982</v>
      </c>
      <c r="H157" s="80" t="s">
        <v>982</v>
      </c>
      <c r="I157" s="80" t="s">
        <v>982</v>
      </c>
      <c r="J157" s="504" t="s">
        <v>1915</v>
      </c>
      <c r="O157" s="1" t="s">
        <v>1003</v>
      </c>
      <c r="P157" s="1" t="s">
        <v>982</v>
      </c>
      <c r="Q157" s="1" t="s">
        <v>982</v>
      </c>
      <c r="R157" s="1" t="s">
        <v>982</v>
      </c>
      <c r="S157" s="1" t="s">
        <v>982</v>
      </c>
      <c r="T157" s="1" t="s">
        <v>982</v>
      </c>
      <c r="U157" s="1" t="s">
        <v>982</v>
      </c>
      <c r="V157" s="1" t="s">
        <v>982</v>
      </c>
      <c r="W157" s="1" t="s">
        <v>1916</v>
      </c>
    </row>
    <row r="158" spans="2:23" ht="12.75" customHeight="1" x14ac:dyDescent="0.2">
      <c r="B158" s="78" t="s">
        <v>1003</v>
      </c>
      <c r="C158" s="498" t="s">
        <v>982</v>
      </c>
      <c r="D158" s="498" t="s">
        <v>982</v>
      </c>
      <c r="E158" s="79" t="s">
        <v>982</v>
      </c>
      <c r="F158" s="80" t="s">
        <v>982</v>
      </c>
      <c r="G158" s="80" t="s">
        <v>982</v>
      </c>
      <c r="H158" s="80" t="s">
        <v>982</v>
      </c>
      <c r="I158" s="80" t="s">
        <v>982</v>
      </c>
      <c r="J158" s="504" t="s">
        <v>1916</v>
      </c>
      <c r="O158" s="1" t="s">
        <v>1004</v>
      </c>
      <c r="P158" s="1" t="s">
        <v>982</v>
      </c>
      <c r="Q158" s="1" t="s">
        <v>982</v>
      </c>
      <c r="R158" s="1" t="s">
        <v>982</v>
      </c>
      <c r="S158" s="1" t="s">
        <v>982</v>
      </c>
      <c r="T158" s="1" t="s">
        <v>982</v>
      </c>
      <c r="U158" s="1" t="s">
        <v>982</v>
      </c>
      <c r="V158" s="1" t="s">
        <v>982</v>
      </c>
      <c r="W158" s="1" t="s">
        <v>1917</v>
      </c>
    </row>
    <row r="159" spans="2:23" ht="12.75" customHeight="1" x14ac:dyDescent="0.2">
      <c r="B159" s="78" t="s">
        <v>1004</v>
      </c>
      <c r="C159" s="498" t="s">
        <v>982</v>
      </c>
      <c r="D159" s="498" t="s">
        <v>982</v>
      </c>
      <c r="E159" s="79" t="s">
        <v>982</v>
      </c>
      <c r="F159" s="80" t="s">
        <v>982</v>
      </c>
      <c r="G159" s="80" t="s">
        <v>982</v>
      </c>
      <c r="H159" s="80" t="s">
        <v>982</v>
      </c>
      <c r="I159" s="80" t="s">
        <v>982</v>
      </c>
      <c r="J159" s="504" t="s">
        <v>1917</v>
      </c>
      <c r="O159" s="1" t="s">
        <v>1002</v>
      </c>
    </row>
    <row r="160" spans="2:23" ht="12.75" customHeight="1" x14ac:dyDescent="0.2">
      <c r="B160" s="75" t="s">
        <v>1005</v>
      </c>
      <c r="C160" s="81"/>
      <c r="D160" s="81"/>
      <c r="E160" s="81"/>
      <c r="F160" s="81"/>
      <c r="G160" s="81"/>
      <c r="H160" s="81"/>
      <c r="I160" s="81"/>
      <c r="J160" s="506"/>
      <c r="O160" s="1" t="s">
        <v>1005</v>
      </c>
    </row>
    <row r="161" spans="2:23" ht="12.75" customHeight="1" x14ac:dyDescent="0.2">
      <c r="B161" s="78" t="s">
        <v>1006</v>
      </c>
      <c r="C161" s="498" t="s">
        <v>1007</v>
      </c>
      <c r="D161" s="498" t="s">
        <v>1008</v>
      </c>
      <c r="E161" s="79" t="s">
        <v>678</v>
      </c>
      <c r="F161" s="80" t="s">
        <v>901</v>
      </c>
      <c r="G161" s="80" t="s">
        <v>1783</v>
      </c>
      <c r="H161" s="80" t="s">
        <v>619</v>
      </c>
      <c r="I161" s="80" t="s">
        <v>753</v>
      </c>
      <c r="J161" s="504" t="s">
        <v>1918</v>
      </c>
      <c r="O161" s="1" t="s">
        <v>1006</v>
      </c>
      <c r="P161" s="1" t="s">
        <v>1007</v>
      </c>
      <c r="Q161" s="1" t="s">
        <v>1008</v>
      </c>
      <c r="R161" s="1" t="s">
        <v>678</v>
      </c>
      <c r="S161" s="1" t="s">
        <v>901</v>
      </c>
      <c r="T161" s="1" t="s">
        <v>1783</v>
      </c>
      <c r="U161" s="1" t="s">
        <v>619</v>
      </c>
      <c r="V161" s="1" t="s">
        <v>753</v>
      </c>
      <c r="W161" s="1" t="s">
        <v>1918</v>
      </c>
    </row>
    <row r="162" spans="2:23" ht="12.75" customHeight="1" x14ac:dyDescent="0.2">
      <c r="B162" s="78" t="s">
        <v>1009</v>
      </c>
      <c r="C162" s="498" t="s">
        <v>1010</v>
      </c>
      <c r="D162" s="498" t="s">
        <v>1011</v>
      </c>
      <c r="E162" s="79" t="s">
        <v>905</v>
      </c>
      <c r="F162" s="80" t="s">
        <v>1012</v>
      </c>
      <c r="G162" s="80" t="s">
        <v>1784</v>
      </c>
      <c r="H162" s="80" t="s">
        <v>1013</v>
      </c>
      <c r="I162" s="80" t="s">
        <v>753</v>
      </c>
      <c r="J162" s="504" t="s">
        <v>1919</v>
      </c>
      <c r="O162" s="1" t="s">
        <v>1009</v>
      </c>
      <c r="P162" s="1" t="s">
        <v>1010</v>
      </c>
      <c r="Q162" s="1" t="s">
        <v>1011</v>
      </c>
      <c r="R162" s="1" t="s">
        <v>905</v>
      </c>
      <c r="S162" s="1" t="s">
        <v>1012</v>
      </c>
      <c r="T162" s="1" t="s">
        <v>1784</v>
      </c>
      <c r="U162" s="1" t="s">
        <v>1013</v>
      </c>
      <c r="V162" s="1" t="s">
        <v>753</v>
      </c>
      <c r="W162" s="1" t="s">
        <v>1919</v>
      </c>
    </row>
    <row r="163" spans="2:23" ht="12.75" customHeight="1" x14ac:dyDescent="0.2">
      <c r="B163" s="78" t="s">
        <v>1014</v>
      </c>
      <c r="C163" s="498" t="s">
        <v>1015</v>
      </c>
      <c r="D163" s="498" t="s">
        <v>1016</v>
      </c>
      <c r="E163" s="79" t="s">
        <v>1017</v>
      </c>
      <c r="F163" s="80" t="s">
        <v>1018</v>
      </c>
      <c r="G163" s="80" t="s">
        <v>1692</v>
      </c>
      <c r="H163" s="80" t="s">
        <v>1019</v>
      </c>
      <c r="I163" s="80" t="s">
        <v>949</v>
      </c>
      <c r="J163" s="504" t="s">
        <v>1920</v>
      </c>
      <c r="O163" s="1" t="s">
        <v>1014</v>
      </c>
      <c r="P163" s="1" t="s">
        <v>1015</v>
      </c>
      <c r="Q163" s="1" t="s">
        <v>1016</v>
      </c>
      <c r="R163" s="1" t="s">
        <v>1017</v>
      </c>
      <c r="S163" s="1" t="s">
        <v>1018</v>
      </c>
      <c r="T163" s="1" t="s">
        <v>1692</v>
      </c>
      <c r="U163" s="1" t="s">
        <v>1019</v>
      </c>
      <c r="V163" s="1" t="s">
        <v>949</v>
      </c>
      <c r="W163" s="1" t="s">
        <v>1920</v>
      </c>
    </row>
    <row r="164" spans="2:23" ht="12.75" customHeight="1" x14ac:dyDescent="0.2">
      <c r="B164" s="78" t="s">
        <v>1785</v>
      </c>
      <c r="C164" s="498" t="s">
        <v>1786</v>
      </c>
      <c r="D164" s="498" t="s">
        <v>1787</v>
      </c>
      <c r="E164" s="79" t="s">
        <v>579</v>
      </c>
      <c r="F164" s="80" t="s">
        <v>1788</v>
      </c>
      <c r="G164" s="80" t="s">
        <v>1789</v>
      </c>
      <c r="H164" s="80" t="s">
        <v>589</v>
      </c>
      <c r="I164" s="80" t="s">
        <v>949</v>
      </c>
      <c r="J164" s="504" t="s">
        <v>1921</v>
      </c>
      <c r="O164" s="1" t="s">
        <v>1785</v>
      </c>
      <c r="P164" s="1" t="s">
        <v>1786</v>
      </c>
      <c r="Q164" s="1" t="s">
        <v>1787</v>
      </c>
      <c r="R164" s="1" t="s">
        <v>579</v>
      </c>
      <c r="S164" s="1" t="s">
        <v>1788</v>
      </c>
      <c r="T164" s="1" t="s">
        <v>1789</v>
      </c>
      <c r="U164" s="1" t="s">
        <v>589</v>
      </c>
      <c r="V164" s="1" t="s">
        <v>949</v>
      </c>
      <c r="W164" s="1" t="s">
        <v>1921</v>
      </c>
    </row>
    <row r="165" spans="2:23" ht="12.75" customHeight="1" x14ac:dyDescent="0.2">
      <c r="B165" s="78" t="s">
        <v>1790</v>
      </c>
      <c r="C165" s="498" t="s">
        <v>595</v>
      </c>
      <c r="D165" s="498" t="s">
        <v>1791</v>
      </c>
      <c r="E165" s="79" t="s">
        <v>1792</v>
      </c>
      <c r="F165" s="80" t="s">
        <v>1793</v>
      </c>
      <c r="G165" s="80" t="s">
        <v>1794</v>
      </c>
      <c r="H165" s="80" t="s">
        <v>589</v>
      </c>
      <c r="I165" s="80" t="s">
        <v>949</v>
      </c>
      <c r="J165" s="504" t="s">
        <v>1922</v>
      </c>
      <c r="O165" s="1" t="s">
        <v>1790</v>
      </c>
      <c r="P165" s="1" t="s">
        <v>595</v>
      </c>
      <c r="Q165" s="1" t="s">
        <v>1791</v>
      </c>
      <c r="R165" s="1" t="s">
        <v>1792</v>
      </c>
      <c r="S165" s="1" t="s">
        <v>1793</v>
      </c>
      <c r="T165" s="1" t="s">
        <v>1794</v>
      </c>
      <c r="U165" s="1" t="s">
        <v>589</v>
      </c>
      <c r="V165" s="1" t="s">
        <v>949</v>
      </c>
      <c r="W165" s="1" t="s">
        <v>1922</v>
      </c>
    </row>
    <row r="166" spans="2:23" ht="12.75" customHeight="1" x14ac:dyDescent="0.2"/>
    <row r="167" spans="2:23" ht="12.75" customHeight="1" x14ac:dyDescent="0.2"/>
    <row r="168" spans="2:23" ht="12.75" customHeight="1" x14ac:dyDescent="0.2"/>
    <row r="169" spans="2:23" ht="12.75" customHeight="1" x14ac:dyDescent="0.2"/>
    <row r="170" spans="2:23" ht="12.75" customHeight="1" x14ac:dyDescent="0.2"/>
    <row r="171" spans="2:23" ht="12.75" customHeight="1" x14ac:dyDescent="0.2"/>
    <row r="172" spans="2:23" ht="12.75" customHeight="1" x14ac:dyDescent="0.2"/>
    <row r="173" spans="2:23" ht="12.75" customHeight="1" x14ac:dyDescent="0.2"/>
    <row r="174" spans="2:23" ht="12.75" customHeight="1" x14ac:dyDescent="0.2"/>
    <row r="175" spans="2:23" ht="12.75" customHeight="1" x14ac:dyDescent="0.2"/>
    <row r="176" spans="2:23"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sheetData>
  <sheetProtection sheet="1" objects="1" scenarios="1" selectLockedCells="1"/>
  <sortState xmlns:xlrd2="http://schemas.microsoft.com/office/spreadsheetml/2017/richdata2" ref="O2:V102">
    <sortCondition ref="O2"/>
  </sortState>
  <phoneticPr fontId="6"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96</vt:i4>
      </vt:variant>
    </vt:vector>
  </HeadingPairs>
  <TitlesOfParts>
    <vt:vector size="105" baseType="lpstr">
      <vt:lpstr>Recipe</vt:lpstr>
      <vt:lpstr>Brewday Datasheet</vt:lpstr>
      <vt:lpstr>Convert Units</vt:lpstr>
      <vt:lpstr>Scale-up</vt:lpstr>
      <vt:lpstr>Grains</vt:lpstr>
      <vt:lpstr>Extracts-Adjuncts</vt:lpstr>
      <vt:lpstr>Fermentables</vt:lpstr>
      <vt:lpstr>Yeast</vt:lpstr>
      <vt:lpstr>Styles</vt:lpstr>
      <vt:lpstr>Acid</vt:lpstr>
      <vt:lpstr>Adjunct</vt:lpstr>
      <vt:lpstr>'Convert Units'!BeerTemp</vt:lpstr>
      <vt:lpstr>Recipe!BeerTemp</vt:lpstr>
      <vt:lpstr>'Scale-up'!BeerTemp</vt:lpstr>
      <vt:lpstr>'Brewday Datasheet'!BeerVol</vt:lpstr>
      <vt:lpstr>'Convert Units'!BeerVol</vt:lpstr>
      <vt:lpstr>Recipe!BeerVol</vt:lpstr>
      <vt:lpstr>'Scale-up'!BeerVol</vt:lpstr>
      <vt:lpstr>'Convert Units'!BeerVolUnits</vt:lpstr>
      <vt:lpstr>Recipe!BeerVolUnits</vt:lpstr>
      <vt:lpstr>'Scale-up'!BeerVolUnits</vt:lpstr>
      <vt:lpstr>'Brewday Datasheet'!BoilTime</vt:lpstr>
      <vt:lpstr>'Convert Units'!BoilTime</vt:lpstr>
      <vt:lpstr>Recipe!BoilTime</vt:lpstr>
      <vt:lpstr>'Scale-up'!BoilTime</vt:lpstr>
      <vt:lpstr>'Brewday Datasheet'!BrewingEfficiency</vt:lpstr>
      <vt:lpstr>Caramel</vt:lpstr>
      <vt:lpstr>'Convert Units'!ColorFormula</vt:lpstr>
      <vt:lpstr>Recipe!ColorFormula</vt:lpstr>
      <vt:lpstr>'Scale-up'!ColorFormula</vt:lpstr>
      <vt:lpstr>'Convert Units'!ColorUnits</vt:lpstr>
      <vt:lpstr>Recipe!ColorUnits</vt:lpstr>
      <vt:lpstr>'Scale-up'!ColorUnits</vt:lpstr>
      <vt:lpstr>'Convert Units'!ConvertedVolume</vt:lpstr>
      <vt:lpstr>'Scale-up'!ConvertedVolume</vt:lpstr>
      <vt:lpstr>Dextrin</vt:lpstr>
      <vt:lpstr>'Brewday Datasheet'!Efficiency</vt:lpstr>
      <vt:lpstr>'Convert Units'!Efficiency</vt:lpstr>
      <vt:lpstr>Recipe!Efficiency</vt:lpstr>
      <vt:lpstr>'Scale-up'!Efficiency</vt:lpstr>
      <vt:lpstr>Extract</vt:lpstr>
      <vt:lpstr>Flaked</vt:lpstr>
      <vt:lpstr>'Convert Units'!Grain_absorption</vt:lpstr>
      <vt:lpstr>Recipe!Grain_absorption</vt:lpstr>
      <vt:lpstr>'Scale-up'!Grain_absorption</vt:lpstr>
      <vt:lpstr>'Convert Units'!Grain_Temp</vt:lpstr>
      <vt:lpstr>Recipe!Grain_Temp</vt:lpstr>
      <vt:lpstr>'Scale-up'!Grain_Temp</vt:lpstr>
      <vt:lpstr>'Convert Units'!HopCalc</vt:lpstr>
      <vt:lpstr>Recipe!HopCalc</vt:lpstr>
      <vt:lpstr>'Scale-up'!HopCalc</vt:lpstr>
      <vt:lpstr>'Brewday Datasheet'!HopUnits</vt:lpstr>
      <vt:lpstr>'Convert Units'!HopUnits</vt:lpstr>
      <vt:lpstr>Recipe!HopUnits</vt:lpstr>
      <vt:lpstr>'Scale-up'!HopUnits</vt:lpstr>
      <vt:lpstr>'Convert Units'!Mass</vt:lpstr>
      <vt:lpstr>Recipe!Mass</vt:lpstr>
      <vt:lpstr>'Scale-up'!Mass</vt:lpstr>
      <vt:lpstr>Munich</vt:lpstr>
      <vt:lpstr>'Scale-up'!NewVol</vt:lpstr>
      <vt:lpstr>NonBarley</vt:lpstr>
      <vt:lpstr>'Brewday Datasheet'!OriginalGravity</vt:lpstr>
      <vt:lpstr>'Convert Units'!OriginalGravity</vt:lpstr>
      <vt:lpstr>Recipe!OriginalGravity</vt:lpstr>
      <vt:lpstr>'Scale-up'!OriginalGravity</vt:lpstr>
      <vt:lpstr>Pale</vt:lpstr>
      <vt:lpstr>'Convert Units'!PrimingUnits</vt:lpstr>
      <vt:lpstr>Recipe!PrimingUnits</vt:lpstr>
      <vt:lpstr>'Scale-up'!PrimingUnits</vt:lpstr>
      <vt:lpstr>Roasted</vt:lpstr>
      <vt:lpstr>'Convert Units'!ServingTemp</vt:lpstr>
      <vt:lpstr>Recipe!ServingTemp</vt:lpstr>
      <vt:lpstr>'Scale-up'!ServingTemp</vt:lpstr>
      <vt:lpstr>'Convert Units'!ServingUnits</vt:lpstr>
      <vt:lpstr>Recipe!ServingUnits</vt:lpstr>
      <vt:lpstr>'Scale-up'!ServingUnits</vt:lpstr>
      <vt:lpstr>Smoked</vt:lpstr>
      <vt:lpstr>Styles</vt:lpstr>
      <vt:lpstr>'Convert Units'!Sugar</vt:lpstr>
      <vt:lpstr>Recipe!Sugar</vt:lpstr>
      <vt:lpstr>'Scale-up'!Sugar</vt:lpstr>
      <vt:lpstr>'Convert Units'!TempUnits</vt:lpstr>
      <vt:lpstr>Recipe!TempUnits</vt:lpstr>
      <vt:lpstr>'Scale-up'!TempUnits</vt:lpstr>
      <vt:lpstr>Toasted</vt:lpstr>
      <vt:lpstr>'Brewday Datasheet'!TotalFermentables</vt:lpstr>
      <vt:lpstr>'Convert Units'!TotalFermentables</vt:lpstr>
      <vt:lpstr>Recipe!TotalFermentables</vt:lpstr>
      <vt:lpstr>'Scale-up'!TotalFermentables</vt:lpstr>
      <vt:lpstr>'Convert Units'!Units</vt:lpstr>
      <vt:lpstr>Fermentables!Units</vt:lpstr>
      <vt:lpstr>Recipe!Units</vt:lpstr>
      <vt:lpstr>'Scale-up'!Units</vt:lpstr>
      <vt:lpstr>Vienna</vt:lpstr>
      <vt:lpstr>'Convert Units'!VolCO2</vt:lpstr>
      <vt:lpstr>Recipe!VolCO2</vt:lpstr>
      <vt:lpstr>'Scale-up'!VolCO2</vt:lpstr>
      <vt:lpstr>'Brewday Datasheet'!Volume</vt:lpstr>
      <vt:lpstr>'Convert Units'!Volume</vt:lpstr>
      <vt:lpstr>Recipe!Volume</vt:lpstr>
      <vt:lpstr>'Scale-up'!Volume</vt:lpstr>
      <vt:lpstr>'Convert Units'!VolUnits</vt:lpstr>
      <vt:lpstr>Recipe!VolUnits</vt:lpstr>
      <vt:lpstr>'Scale-up'!VolUnits</vt:lpstr>
      <vt:lpstr>Yeast</vt:lpstr>
    </vt:vector>
  </TitlesOfParts>
  <Manager/>
  <Company>Shanty Brewery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 Spidel</dc:creator>
  <cp:keywords/>
  <dc:description/>
  <cp:lastModifiedBy>Jared Spidel</cp:lastModifiedBy>
  <cp:revision/>
  <dcterms:created xsi:type="dcterms:W3CDTF">2006-06-26T16:29:33Z</dcterms:created>
  <dcterms:modified xsi:type="dcterms:W3CDTF">2024-06-18T23:42:31Z</dcterms:modified>
  <cp:category/>
  <cp:contentStatus/>
</cp:coreProperties>
</file>